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3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bouwenmetstaal-my.sharepoint.com/personal/bennie_bouwenmetstaal_nl/Documents/Brandinformatiesysteem/Spreadsheets/"/>
    </mc:Choice>
  </mc:AlternateContent>
  <xr:revisionPtr revIDLastSave="94" documentId="11_61B6A616AE48293906A421661AC074E1F59E6A39" xr6:coauthVersionLast="47" xr6:coauthVersionMax="47" xr10:uidLastSave="{39EC092C-1DEE-7C4C-B8E4-27F9ED10F9DA}"/>
  <workbookProtection workbookAlgorithmName="SHA-512" workbookHashValue="lmvjfxaLJ3K0Q6XcT6UWYoIQa+aITITfL0vKXp60O2+nSJECLe8imF7gD34VPLYrgN/ncNVJhOsHszDMCxdcGQ==" workbookSaltValue="jy98hDeutW7I4AU3S2Gaeg==" workbookSpinCount="100000" lockStructure="1"/>
  <bookViews>
    <workbookView xWindow="0" yWindow="0" windowWidth="51200" windowHeight="28800" tabRatio="794" xr2:uid="{00000000-000D-0000-FFFF-FFFF00000000}"/>
  </bookViews>
  <sheets>
    <sheet name="head" sheetId="1" r:id="rId1"/>
    <sheet name="ky-kE-kp" sheetId="2" state="hidden" r:id="rId2"/>
    <sheet name="database" sheetId="3" state="hidden" r:id="rId3"/>
    <sheet name="My,max" sheetId="4" state="hidden" r:id="rId4"/>
    <sheet name="Mz,max" sheetId="5" state="hidden" r:id="rId5"/>
    <sheet name="Doorsnedeklasse wals" sheetId="6" state="hidden" r:id="rId6"/>
    <sheet name="Doorsnedeklasse rond" sheetId="7" state="hidden" r:id="rId7"/>
    <sheet name="Doorsnedeklasse vierkant" sheetId="8" state="hidden" r:id="rId8"/>
  </sheets>
  <definedNames>
    <definedName name="_xlnm.Print_Area" localSheetId="0">head!$A:$J</definedName>
    <definedName name="_xlnm.Print_Titles" localSheetId="2">database!$1:$3</definedName>
    <definedName name="CFCHS">database!$B$4:$BA$194</definedName>
    <definedName name="CFSHS">database!$B$195:$BA$291</definedName>
    <definedName name="DBASE">database!$A$4:$BA$736</definedName>
    <definedName name="HEA">database!$B$292:$BA$359</definedName>
    <definedName name="HEB">database!$B$385:$BA$409</definedName>
    <definedName name="HEM">database!$B$410:$BA$434</definedName>
    <definedName name="HFCHS">database!$B$435:$BA$625</definedName>
    <definedName name="HFSHS">database!$B$626:$BA$717</definedName>
    <definedName name="IPE">database!$B$718:$BA$736</definedName>
    <definedName name="Z_56E0D05E_C3B0_4A86_B9AD_C3673A46D46E_.wvu.Cols" localSheetId="0" hidden="1">head!$L:$O</definedName>
    <definedName name="Z_56E0D05E_C3B0_4A86_B9AD_C3673A46D46E_.wvu.PrintTitles" localSheetId="2" hidden="1">database!$1:$3</definedName>
    <definedName name="Z_56E0D05E_C3B0_4A86_B9AD_C3673A46D46E_.wvu.Rows" localSheetId="0" hidden="1">head!$159:$162,head!#REF!</definedName>
    <definedName name="Z_8A435FCC_8BD6_DD45_9129_438811B87EB1_.wvu.Cols" localSheetId="0" hidden="1">head!$L:$U</definedName>
    <definedName name="Z_8A435FCC_8BD6_DD45_9129_438811B87EB1_.wvu.PrintArea" localSheetId="0" hidden="1">head!$A:$J</definedName>
    <definedName name="Z_8A435FCC_8BD6_DD45_9129_438811B87EB1_.wvu.PrintTitles" localSheetId="2" hidden="1">database!$1:$3</definedName>
    <definedName name="Z_8A435FCC_8BD6_DD45_9129_438811B87EB1_.wvu.Rows" localSheetId="0" hidden="1">head!$159:$163,head!$201:$209</definedName>
    <definedName name="Z_F8C9D615_8E46_F541_BBB3_6F54684CB42D_.wvu.PrintArea" localSheetId="0" hidden="1">head!$A:$J</definedName>
    <definedName name="Z_F8C9D615_8E46_F541_BBB3_6F54684CB42D_.wvu.PrintTitles" localSheetId="2" hidden="1">database!$1:$3</definedName>
    <definedName name="Z_F8C9D615_8E46_F541_BBB3_6F54684CB42D_.wvu.Rows" localSheetId="2" hidden="1">database!#REF!</definedName>
  </definedNames>
  <calcPr calcId="191029"/>
  <customWorkbookViews>
    <customWorkbookView name="Ralph Hamerlinck - Persoonlijke weergave" guid="{8A435FCC-8BD6-DD45-9129-438811B87EB1}" mergeInterval="0" personalView="1" xWindow="8" yWindow="54" windowWidth="1280" windowHeight="937" tabRatio="794" activeSheetId="3"/>
    <customWorkbookView name="Bennie Potjes - Persoonlijke weergave" guid="{56E0D05E-C3B0-4A86-B9AD-C3673A46D46E}" mergeInterval="0" personalView="1" maximized="1" xWindow="1" yWindow="1" windowWidth="1600" windowHeight="983" tabRatio="794" activeSheetId="1"/>
    <customWorkbookView name="Bennie - Persoonlijke weergave" guid="{F8C9D615-8E46-F541-BBB3-6F54684CB42D}" mergeInterval="0" personalView="1" yWindow="42" windowWidth="1680" windowHeight="986" tabRatio="79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17" i="1" l="1"/>
  <c r="F117" i="1"/>
  <c r="B15" i="5"/>
  <c r="B49" i="5" s="1"/>
  <c r="E49" i="5" s="1"/>
  <c r="B16" i="5"/>
  <c r="B26" i="5" s="1"/>
  <c r="E26" i="5" s="1"/>
  <c r="C19" i="5"/>
  <c r="B17" i="5"/>
  <c r="B16" i="4"/>
  <c r="B62" i="4" s="1"/>
  <c r="E62" i="4" s="1"/>
  <c r="B15" i="4"/>
  <c r="B37" i="4" s="1"/>
  <c r="E37" i="4" s="1"/>
  <c r="C19" i="4"/>
  <c r="B63" i="4" s="1"/>
  <c r="E63" i="4" s="1"/>
  <c r="B17" i="4"/>
  <c r="E16" i="8"/>
  <c r="B5" i="8"/>
  <c r="B9" i="8" s="1"/>
  <c r="E11" i="8" s="1"/>
  <c r="E17" i="6"/>
  <c r="B5" i="6"/>
  <c r="B10" i="6" s="1"/>
  <c r="B6" i="6"/>
  <c r="D6" i="6" s="1"/>
  <c r="B72" i="6" s="1"/>
  <c r="I29" i="1"/>
  <c r="B5" i="7"/>
  <c r="E14" i="7"/>
  <c r="B6" i="7"/>
  <c r="D6" i="7" s="1"/>
  <c r="B6" i="8"/>
  <c r="D6" i="8" s="1"/>
  <c r="B47" i="8" s="1"/>
  <c r="F89" i="1"/>
  <c r="I30" i="1"/>
  <c r="I33" i="1"/>
  <c r="I48" i="1"/>
  <c r="I49" i="1"/>
  <c r="I52" i="1"/>
  <c r="D20" i="1"/>
  <c r="B51" i="5"/>
  <c r="E51" i="5" s="1"/>
  <c r="B50" i="5"/>
  <c r="E50" i="5" s="1"/>
  <c r="B38" i="5"/>
  <c r="E38" i="5" s="1"/>
  <c r="B37" i="5"/>
  <c r="E37" i="5"/>
  <c r="B61" i="5"/>
  <c r="E61" i="5" s="1"/>
  <c r="B38" i="4"/>
  <c r="E38" i="4" s="1"/>
  <c r="B39" i="4"/>
  <c r="E39" i="4" s="1"/>
  <c r="G72" i="1"/>
  <c r="F91" i="1"/>
  <c r="E183" i="1" s="1"/>
  <c r="G77" i="1"/>
  <c r="F83" i="1"/>
  <c r="D125" i="1" s="1"/>
  <c r="C150" i="1"/>
  <c r="C153" i="1"/>
  <c r="C120" i="1" s="1"/>
  <c r="C151" i="1"/>
  <c r="C154" i="1"/>
  <c r="C152" i="1"/>
  <c r="C121" i="1" s="1"/>
  <c r="C130" i="1"/>
  <c r="AX304" i="3"/>
  <c r="AY304" i="3" s="1"/>
  <c r="AU304" i="3"/>
  <c r="AV304" i="3"/>
  <c r="AW304" i="3" s="1"/>
  <c r="AX727" i="3"/>
  <c r="AY727" i="3" s="1"/>
  <c r="AZ727" i="3" s="1"/>
  <c r="AU727" i="3"/>
  <c r="AV727" i="3"/>
  <c r="AW727" i="3" s="1"/>
  <c r="AX393" i="3"/>
  <c r="AY393" i="3" s="1"/>
  <c r="AU393" i="3"/>
  <c r="AV393" i="3" s="1"/>
  <c r="AW393" i="3" s="1"/>
  <c r="AX354" i="3"/>
  <c r="AY354" i="3" s="1"/>
  <c r="AX351" i="3"/>
  <c r="AY351" i="3" s="1"/>
  <c r="AX352" i="3"/>
  <c r="AY352" i="3" s="1"/>
  <c r="AX355" i="3"/>
  <c r="AY355" i="3" s="1"/>
  <c r="AX407" i="3"/>
  <c r="AY407" i="3" s="1"/>
  <c r="AX350" i="3"/>
  <c r="AY350" i="3" s="1"/>
  <c r="F90" i="1"/>
  <c r="I123" i="1" s="1"/>
  <c r="D135" i="1"/>
  <c r="F130" i="1"/>
  <c r="F135" i="1"/>
  <c r="F125" i="1"/>
  <c r="G130" i="1"/>
  <c r="H130" i="1"/>
  <c r="H135" i="1"/>
  <c r="H125" i="1"/>
  <c r="I135" i="1"/>
  <c r="I125" i="1"/>
  <c r="J130" i="1"/>
  <c r="J135" i="1"/>
  <c r="J125" i="1"/>
  <c r="C190" i="1"/>
  <c r="C180" i="1"/>
  <c r="D190" i="1"/>
  <c r="D180" i="1"/>
  <c r="E185" i="1"/>
  <c r="E190" i="1"/>
  <c r="E180" i="1"/>
  <c r="F185" i="1"/>
  <c r="F190" i="1"/>
  <c r="G185" i="1"/>
  <c r="G190" i="1"/>
  <c r="G180" i="1"/>
  <c r="H185" i="1"/>
  <c r="H190" i="1"/>
  <c r="H180" i="1"/>
  <c r="BA735" i="3"/>
  <c r="BA718" i="3"/>
  <c r="AX397" i="3"/>
  <c r="AY397" i="3" s="1"/>
  <c r="AU397" i="3"/>
  <c r="AV397" i="3"/>
  <c r="AW397" i="3" s="1"/>
  <c r="AX726" i="3"/>
  <c r="AY726" i="3" s="1"/>
  <c r="AU726" i="3"/>
  <c r="AV726" i="3" s="1"/>
  <c r="AW726" i="3" s="1"/>
  <c r="I185" i="1"/>
  <c r="I190" i="1"/>
  <c r="E130" i="1"/>
  <c r="E125" i="1"/>
  <c r="E135" i="1"/>
  <c r="H48" i="1"/>
  <c r="BA4" i="3"/>
  <c r="AQ5" i="3"/>
  <c r="AP5" i="3"/>
  <c r="AK5" i="3"/>
  <c r="BA5" i="3"/>
  <c r="AQ6" i="3"/>
  <c r="AP6" i="3"/>
  <c r="AK6" i="3"/>
  <c r="BA6" i="3"/>
  <c r="AQ7" i="3"/>
  <c r="AP7" i="3"/>
  <c r="AK7" i="3"/>
  <c r="BA7" i="3"/>
  <c r="AQ8" i="3"/>
  <c r="AP8" i="3"/>
  <c r="AR8" i="3" s="1"/>
  <c r="AS8" i="3" s="1"/>
  <c r="AT8" i="3" s="1"/>
  <c r="B8" i="3" s="1"/>
  <c r="AK8" i="3"/>
  <c r="BA8" i="3"/>
  <c r="AQ9" i="3"/>
  <c r="AP9" i="3"/>
  <c r="AK9" i="3"/>
  <c r="BA9" i="3"/>
  <c r="AQ10" i="3"/>
  <c r="AP10" i="3"/>
  <c r="AK10" i="3"/>
  <c r="BA10" i="3"/>
  <c r="AQ11" i="3"/>
  <c r="AP11" i="3"/>
  <c r="AK11" i="3"/>
  <c r="BA11" i="3"/>
  <c r="AQ12" i="3"/>
  <c r="AP12" i="3"/>
  <c r="AK12" i="3"/>
  <c r="BA12" i="3"/>
  <c r="AQ13" i="3"/>
  <c r="AP13" i="3"/>
  <c r="AK13" i="3"/>
  <c r="BA13" i="3"/>
  <c r="AQ14" i="3"/>
  <c r="AP14" i="3"/>
  <c r="AK14" i="3"/>
  <c r="BA14" i="3"/>
  <c r="AQ15" i="3"/>
  <c r="AP15" i="3"/>
  <c r="AK15" i="3"/>
  <c r="BA15" i="3"/>
  <c r="AQ16" i="3"/>
  <c r="AP16" i="3"/>
  <c r="AK16" i="3"/>
  <c r="BA16" i="3"/>
  <c r="AQ17" i="3"/>
  <c r="AP17" i="3"/>
  <c r="AK17" i="3"/>
  <c r="BA17" i="3"/>
  <c r="AQ18" i="3"/>
  <c r="AP18" i="3"/>
  <c r="AK18" i="3"/>
  <c r="BA18" i="3"/>
  <c r="AQ19" i="3"/>
  <c r="AP19" i="3"/>
  <c r="AK19" i="3"/>
  <c r="BA19" i="3"/>
  <c r="AQ20" i="3"/>
  <c r="AP20" i="3"/>
  <c r="AK20" i="3"/>
  <c r="BA20" i="3"/>
  <c r="AQ21" i="3"/>
  <c r="AP21" i="3"/>
  <c r="AK21" i="3"/>
  <c r="BA21" i="3"/>
  <c r="AQ22" i="3"/>
  <c r="AP22" i="3"/>
  <c r="AK22" i="3"/>
  <c r="BA22" i="3"/>
  <c r="AQ23" i="3"/>
  <c r="AP23" i="3"/>
  <c r="AK23" i="3"/>
  <c r="BA23" i="3"/>
  <c r="AQ24" i="3"/>
  <c r="AP24" i="3"/>
  <c r="AK24" i="3"/>
  <c r="BA24" i="3"/>
  <c r="AQ25" i="3"/>
  <c r="AP25" i="3"/>
  <c r="AK25" i="3"/>
  <c r="BA25" i="3"/>
  <c r="AQ26" i="3"/>
  <c r="AP26" i="3"/>
  <c r="AK26" i="3"/>
  <c r="BA26" i="3"/>
  <c r="AQ27" i="3"/>
  <c r="AP27" i="3"/>
  <c r="AK27" i="3"/>
  <c r="BA27" i="3"/>
  <c r="AQ28" i="3"/>
  <c r="AP28" i="3"/>
  <c r="AK28" i="3"/>
  <c r="BA28" i="3"/>
  <c r="AQ29" i="3"/>
  <c r="AP29" i="3"/>
  <c r="AK29" i="3"/>
  <c r="BA29" i="3"/>
  <c r="AQ30" i="3"/>
  <c r="AP30" i="3"/>
  <c r="AK30" i="3"/>
  <c r="BA30" i="3"/>
  <c r="AQ31" i="3"/>
  <c r="AP31" i="3"/>
  <c r="AK31" i="3"/>
  <c r="BA31" i="3"/>
  <c r="AQ32" i="3"/>
  <c r="AP32" i="3"/>
  <c r="AK32" i="3"/>
  <c r="BA32" i="3"/>
  <c r="AQ33" i="3"/>
  <c r="AP33" i="3"/>
  <c r="AK33" i="3"/>
  <c r="BA33" i="3"/>
  <c r="AQ34" i="3"/>
  <c r="AP34" i="3"/>
  <c r="AK34" i="3"/>
  <c r="BA34" i="3"/>
  <c r="AQ35" i="3"/>
  <c r="AP35" i="3"/>
  <c r="AK35" i="3"/>
  <c r="BA35" i="3"/>
  <c r="AQ36" i="3"/>
  <c r="AP36" i="3"/>
  <c r="AK36" i="3"/>
  <c r="BA36" i="3"/>
  <c r="AQ37" i="3"/>
  <c r="AP37" i="3"/>
  <c r="AK37" i="3"/>
  <c r="BA37" i="3"/>
  <c r="AQ38" i="3"/>
  <c r="AP38" i="3"/>
  <c r="AK38" i="3"/>
  <c r="BA38" i="3"/>
  <c r="AQ39" i="3"/>
  <c r="AP39" i="3"/>
  <c r="AK39" i="3"/>
  <c r="BA39" i="3"/>
  <c r="AQ40" i="3"/>
  <c r="AP40" i="3"/>
  <c r="AK40" i="3"/>
  <c r="BA40" i="3"/>
  <c r="AQ41" i="3"/>
  <c r="AP41" i="3"/>
  <c r="AK41" i="3"/>
  <c r="BA41" i="3"/>
  <c r="AQ42" i="3"/>
  <c r="AP42" i="3"/>
  <c r="AK42" i="3"/>
  <c r="BA42" i="3"/>
  <c r="AQ43" i="3"/>
  <c r="AP43" i="3"/>
  <c r="AK43" i="3"/>
  <c r="BA43" i="3"/>
  <c r="AQ44" i="3"/>
  <c r="AP44" i="3"/>
  <c r="AK44" i="3"/>
  <c r="BA44" i="3"/>
  <c r="AQ45" i="3"/>
  <c r="AP45" i="3"/>
  <c r="AK45" i="3"/>
  <c r="BA45" i="3"/>
  <c r="AQ46" i="3"/>
  <c r="AP46" i="3"/>
  <c r="AK46" i="3"/>
  <c r="BA46" i="3"/>
  <c r="AQ47" i="3"/>
  <c r="AP47" i="3"/>
  <c r="AK47" i="3"/>
  <c r="BA47" i="3"/>
  <c r="AQ48" i="3"/>
  <c r="AP48" i="3"/>
  <c r="AK48" i="3"/>
  <c r="BA48" i="3"/>
  <c r="AQ49" i="3"/>
  <c r="AP49" i="3"/>
  <c r="AK49" i="3"/>
  <c r="BA49" i="3"/>
  <c r="AQ50" i="3"/>
  <c r="AP50" i="3"/>
  <c r="AK50" i="3"/>
  <c r="BA50" i="3"/>
  <c r="AQ51" i="3"/>
  <c r="AP51" i="3"/>
  <c r="AK51" i="3"/>
  <c r="BA51" i="3"/>
  <c r="AQ52" i="3"/>
  <c r="AP52" i="3"/>
  <c r="AK52" i="3"/>
  <c r="BA52" i="3"/>
  <c r="AQ53" i="3"/>
  <c r="AP53" i="3"/>
  <c r="AK53" i="3"/>
  <c r="BA53" i="3"/>
  <c r="AQ54" i="3"/>
  <c r="AP54" i="3"/>
  <c r="AK54" i="3"/>
  <c r="BA54" i="3"/>
  <c r="AQ55" i="3"/>
  <c r="AP55" i="3"/>
  <c r="AK55" i="3"/>
  <c r="BA55" i="3"/>
  <c r="AQ56" i="3"/>
  <c r="AP56" i="3"/>
  <c r="AK56" i="3"/>
  <c r="BA56" i="3"/>
  <c r="AQ57" i="3"/>
  <c r="AP57" i="3"/>
  <c r="AK57" i="3"/>
  <c r="BA57" i="3"/>
  <c r="AQ58" i="3"/>
  <c r="AP58" i="3"/>
  <c r="AK58" i="3"/>
  <c r="BA58" i="3"/>
  <c r="AQ59" i="3"/>
  <c r="AP59" i="3"/>
  <c r="AK59" i="3"/>
  <c r="BA59" i="3"/>
  <c r="AQ60" i="3"/>
  <c r="AP60" i="3"/>
  <c r="AK60" i="3"/>
  <c r="BA60" i="3"/>
  <c r="AQ61" i="3"/>
  <c r="AP61" i="3"/>
  <c r="AK61" i="3"/>
  <c r="BA61" i="3"/>
  <c r="AQ62" i="3"/>
  <c r="AP62" i="3"/>
  <c r="AK62" i="3"/>
  <c r="BA62" i="3"/>
  <c r="AQ63" i="3"/>
  <c r="AP63" i="3"/>
  <c r="AK63" i="3"/>
  <c r="BA63" i="3"/>
  <c r="AQ64" i="3"/>
  <c r="AP64" i="3"/>
  <c r="AK64" i="3"/>
  <c r="BA64" i="3"/>
  <c r="AQ65" i="3"/>
  <c r="AP65" i="3"/>
  <c r="AK65" i="3"/>
  <c r="BA65" i="3"/>
  <c r="AQ66" i="3"/>
  <c r="AP66" i="3"/>
  <c r="AK66" i="3"/>
  <c r="BA66" i="3"/>
  <c r="AQ67" i="3"/>
  <c r="AP67" i="3"/>
  <c r="AK67" i="3"/>
  <c r="BA67" i="3"/>
  <c r="AQ68" i="3"/>
  <c r="AP68" i="3"/>
  <c r="AK68" i="3"/>
  <c r="BA68" i="3"/>
  <c r="AQ69" i="3"/>
  <c r="AP69" i="3"/>
  <c r="AK69" i="3"/>
  <c r="BA69" i="3"/>
  <c r="AQ70" i="3"/>
  <c r="AP70" i="3"/>
  <c r="AK70" i="3"/>
  <c r="BA70" i="3"/>
  <c r="AQ71" i="3"/>
  <c r="AP71" i="3"/>
  <c r="AK71" i="3"/>
  <c r="BA71" i="3"/>
  <c r="AQ72" i="3"/>
  <c r="AP72" i="3"/>
  <c r="AK72" i="3"/>
  <c r="BA72" i="3"/>
  <c r="AQ73" i="3"/>
  <c r="AP73" i="3"/>
  <c r="AK73" i="3"/>
  <c r="BA73" i="3"/>
  <c r="AQ74" i="3"/>
  <c r="AP74" i="3"/>
  <c r="AK74" i="3"/>
  <c r="BA74" i="3"/>
  <c r="AQ75" i="3"/>
  <c r="AP75" i="3"/>
  <c r="AK75" i="3"/>
  <c r="BA75" i="3"/>
  <c r="AQ76" i="3"/>
  <c r="AP76" i="3"/>
  <c r="AK76" i="3"/>
  <c r="BA76" i="3"/>
  <c r="AQ77" i="3"/>
  <c r="AP77" i="3"/>
  <c r="AK77" i="3"/>
  <c r="BA77" i="3"/>
  <c r="AQ78" i="3"/>
  <c r="AP78" i="3"/>
  <c r="AK78" i="3"/>
  <c r="BA78" i="3"/>
  <c r="AQ79" i="3"/>
  <c r="AP79" i="3"/>
  <c r="AK79" i="3"/>
  <c r="BA79" i="3"/>
  <c r="AQ80" i="3"/>
  <c r="AP80" i="3"/>
  <c r="AK80" i="3"/>
  <c r="BA80" i="3"/>
  <c r="AQ81" i="3"/>
  <c r="AP81" i="3"/>
  <c r="AK81" i="3"/>
  <c r="BA81" i="3"/>
  <c r="AQ82" i="3"/>
  <c r="AP82" i="3"/>
  <c r="AK82" i="3"/>
  <c r="BA82" i="3"/>
  <c r="AQ83" i="3"/>
  <c r="AP83" i="3"/>
  <c r="AK83" i="3"/>
  <c r="BA83" i="3"/>
  <c r="AQ84" i="3"/>
  <c r="AP84" i="3"/>
  <c r="AK84" i="3"/>
  <c r="BA84" i="3"/>
  <c r="AQ85" i="3"/>
  <c r="AP85" i="3"/>
  <c r="AK85" i="3"/>
  <c r="BA85" i="3"/>
  <c r="AQ86" i="3"/>
  <c r="AP86" i="3"/>
  <c r="AK86" i="3"/>
  <c r="BA86" i="3"/>
  <c r="AQ87" i="3"/>
  <c r="AP87" i="3"/>
  <c r="AK87" i="3"/>
  <c r="BA87" i="3"/>
  <c r="AQ88" i="3"/>
  <c r="AP88" i="3"/>
  <c r="AK88" i="3"/>
  <c r="BA88" i="3"/>
  <c r="AQ89" i="3"/>
  <c r="AP89" i="3"/>
  <c r="AK89" i="3"/>
  <c r="BA89" i="3"/>
  <c r="AQ90" i="3"/>
  <c r="AP90" i="3"/>
  <c r="AK90" i="3"/>
  <c r="BA90" i="3"/>
  <c r="AQ91" i="3"/>
  <c r="AP91" i="3"/>
  <c r="AK91" i="3"/>
  <c r="BA91" i="3"/>
  <c r="AQ92" i="3"/>
  <c r="AP92" i="3"/>
  <c r="AK92" i="3"/>
  <c r="BA92" i="3"/>
  <c r="AQ93" i="3"/>
  <c r="AP93" i="3"/>
  <c r="AK93" i="3"/>
  <c r="BA93" i="3"/>
  <c r="AQ94" i="3"/>
  <c r="AP94" i="3"/>
  <c r="AK94" i="3"/>
  <c r="BA94" i="3"/>
  <c r="AQ95" i="3"/>
  <c r="AP95" i="3"/>
  <c r="AK95" i="3"/>
  <c r="BA95" i="3"/>
  <c r="AQ96" i="3"/>
  <c r="AP96" i="3"/>
  <c r="AK96" i="3"/>
  <c r="BA96" i="3"/>
  <c r="AQ97" i="3"/>
  <c r="AP97" i="3"/>
  <c r="AK97" i="3"/>
  <c r="BA97" i="3"/>
  <c r="AQ98" i="3"/>
  <c r="AP98" i="3"/>
  <c r="AK98" i="3"/>
  <c r="BA98" i="3"/>
  <c r="AQ99" i="3"/>
  <c r="AP99" i="3"/>
  <c r="AK99" i="3"/>
  <c r="BA99" i="3"/>
  <c r="AQ100" i="3"/>
  <c r="AP100" i="3"/>
  <c r="AK100" i="3"/>
  <c r="BA100" i="3"/>
  <c r="AQ101" i="3"/>
  <c r="AP101" i="3"/>
  <c r="AK101" i="3"/>
  <c r="BA101" i="3"/>
  <c r="AQ102" i="3"/>
  <c r="AP102" i="3"/>
  <c r="AK102" i="3"/>
  <c r="BA102" i="3"/>
  <c r="AQ103" i="3"/>
  <c r="AP103" i="3"/>
  <c r="AK103" i="3"/>
  <c r="BA103" i="3"/>
  <c r="AQ104" i="3"/>
  <c r="AP104" i="3"/>
  <c r="AK104" i="3"/>
  <c r="BA104" i="3"/>
  <c r="AQ105" i="3"/>
  <c r="AP105" i="3"/>
  <c r="AK105" i="3"/>
  <c r="BA105" i="3"/>
  <c r="AQ106" i="3"/>
  <c r="AP106" i="3"/>
  <c r="AK106" i="3"/>
  <c r="BA106" i="3"/>
  <c r="AQ107" i="3"/>
  <c r="AP107" i="3"/>
  <c r="AK107" i="3"/>
  <c r="BA107" i="3"/>
  <c r="AQ108" i="3"/>
  <c r="AP108" i="3"/>
  <c r="AK108" i="3"/>
  <c r="BA108" i="3"/>
  <c r="AQ109" i="3"/>
  <c r="AP109" i="3"/>
  <c r="AK109" i="3"/>
  <c r="BA109" i="3"/>
  <c r="AQ110" i="3"/>
  <c r="AP110" i="3"/>
  <c r="AK110" i="3"/>
  <c r="BA110" i="3"/>
  <c r="AQ111" i="3"/>
  <c r="AP111" i="3"/>
  <c r="AK111" i="3"/>
  <c r="BA111" i="3"/>
  <c r="AQ112" i="3"/>
  <c r="AP112" i="3"/>
  <c r="AK112" i="3"/>
  <c r="BA112" i="3"/>
  <c r="AQ113" i="3"/>
  <c r="AP113" i="3"/>
  <c r="AK113" i="3"/>
  <c r="BA113" i="3"/>
  <c r="AQ114" i="3"/>
  <c r="AP114" i="3"/>
  <c r="AK114" i="3"/>
  <c r="BA114" i="3"/>
  <c r="AQ115" i="3"/>
  <c r="AP115" i="3"/>
  <c r="AK115" i="3"/>
  <c r="BA115" i="3"/>
  <c r="AQ116" i="3"/>
  <c r="AP116" i="3"/>
  <c r="AK116" i="3"/>
  <c r="BA116" i="3"/>
  <c r="AQ117" i="3"/>
  <c r="AP117" i="3"/>
  <c r="AK117" i="3"/>
  <c r="BA117" i="3"/>
  <c r="AQ118" i="3"/>
  <c r="AR118" i="3" s="1"/>
  <c r="AS118" i="3" s="1"/>
  <c r="AT118" i="3" s="1"/>
  <c r="B118" i="3" s="1"/>
  <c r="AP118" i="3"/>
  <c r="AK118" i="3"/>
  <c r="BA118" i="3"/>
  <c r="AQ119" i="3"/>
  <c r="AR119" i="3" s="1"/>
  <c r="AS119" i="3" s="1"/>
  <c r="AT119" i="3" s="1"/>
  <c r="B119" i="3" s="1"/>
  <c r="AP119" i="3"/>
  <c r="AK119" i="3"/>
  <c r="BA119" i="3"/>
  <c r="AQ120" i="3"/>
  <c r="AR120" i="3" s="1"/>
  <c r="AS120" i="3" s="1"/>
  <c r="AT120" i="3" s="1"/>
  <c r="B120" i="3" s="1"/>
  <c r="AP120" i="3"/>
  <c r="AK120" i="3"/>
  <c r="BA120" i="3"/>
  <c r="AQ121" i="3"/>
  <c r="AP121" i="3"/>
  <c r="AK121" i="3"/>
  <c r="BA121" i="3"/>
  <c r="AQ122" i="3"/>
  <c r="AP122" i="3"/>
  <c r="AK122" i="3"/>
  <c r="BA122" i="3"/>
  <c r="AQ123" i="3"/>
  <c r="AP123" i="3"/>
  <c r="AK123" i="3"/>
  <c r="BA123" i="3"/>
  <c r="AQ124" i="3"/>
  <c r="AP124" i="3"/>
  <c r="AK124" i="3"/>
  <c r="BA124" i="3"/>
  <c r="AQ125" i="3"/>
  <c r="AP125" i="3"/>
  <c r="AK125" i="3"/>
  <c r="BA125" i="3"/>
  <c r="AQ126" i="3"/>
  <c r="AP126" i="3"/>
  <c r="AK126" i="3"/>
  <c r="BA126" i="3"/>
  <c r="AQ127" i="3"/>
  <c r="AR127" i="3" s="1"/>
  <c r="AS127" i="3" s="1"/>
  <c r="AT127" i="3" s="1"/>
  <c r="B127" i="3" s="1"/>
  <c r="AP127" i="3"/>
  <c r="AK127" i="3"/>
  <c r="BA127" i="3"/>
  <c r="AQ128" i="3"/>
  <c r="AP128" i="3"/>
  <c r="AK128" i="3"/>
  <c r="BA128" i="3"/>
  <c r="AQ129" i="3"/>
  <c r="AP129" i="3"/>
  <c r="AK129" i="3"/>
  <c r="BA129" i="3"/>
  <c r="AQ130" i="3"/>
  <c r="AP130" i="3"/>
  <c r="AK130" i="3"/>
  <c r="BA130" i="3"/>
  <c r="AQ131" i="3"/>
  <c r="AP131" i="3"/>
  <c r="AK131" i="3"/>
  <c r="BA131" i="3"/>
  <c r="AQ132" i="3"/>
  <c r="AP132" i="3"/>
  <c r="AK132" i="3"/>
  <c r="BA132" i="3"/>
  <c r="AQ133" i="3"/>
  <c r="AP133" i="3"/>
  <c r="AK133" i="3"/>
  <c r="BA133" i="3"/>
  <c r="AQ134" i="3"/>
  <c r="AP134" i="3"/>
  <c r="AK134" i="3"/>
  <c r="BA134" i="3"/>
  <c r="AQ135" i="3"/>
  <c r="AP135" i="3"/>
  <c r="AK135" i="3"/>
  <c r="BA135" i="3"/>
  <c r="AQ136" i="3"/>
  <c r="AP136" i="3"/>
  <c r="AK136" i="3"/>
  <c r="BA136" i="3"/>
  <c r="AQ137" i="3"/>
  <c r="AP137" i="3"/>
  <c r="AK137" i="3"/>
  <c r="BA137" i="3"/>
  <c r="AQ138" i="3"/>
  <c r="AP138" i="3"/>
  <c r="AK138" i="3"/>
  <c r="BA138" i="3"/>
  <c r="AQ139" i="3"/>
  <c r="AP139" i="3"/>
  <c r="AK139" i="3"/>
  <c r="BA139" i="3"/>
  <c r="AQ140" i="3"/>
  <c r="AP140" i="3"/>
  <c r="AK140" i="3"/>
  <c r="BA140" i="3"/>
  <c r="AQ141" i="3"/>
  <c r="AP141" i="3"/>
  <c r="AK141" i="3"/>
  <c r="BA141" i="3"/>
  <c r="AQ142" i="3"/>
  <c r="AP142" i="3"/>
  <c r="AK142" i="3"/>
  <c r="BA142" i="3"/>
  <c r="AQ143" i="3"/>
  <c r="AP143" i="3"/>
  <c r="AK143" i="3"/>
  <c r="BA143" i="3"/>
  <c r="AQ144" i="3"/>
  <c r="AP144" i="3"/>
  <c r="AK144" i="3"/>
  <c r="BA144" i="3"/>
  <c r="AQ145" i="3"/>
  <c r="AP145" i="3"/>
  <c r="AK145" i="3"/>
  <c r="BA145" i="3"/>
  <c r="AQ146" i="3"/>
  <c r="AP146" i="3"/>
  <c r="AK146" i="3"/>
  <c r="BA146" i="3"/>
  <c r="AQ147" i="3"/>
  <c r="AP147" i="3"/>
  <c r="AR147" i="3" s="1"/>
  <c r="AS147" i="3" s="1"/>
  <c r="AT147" i="3" s="1"/>
  <c r="B147" i="3" s="1"/>
  <c r="AK147" i="3"/>
  <c r="BA147" i="3"/>
  <c r="AQ148" i="3"/>
  <c r="AP148" i="3"/>
  <c r="AK148" i="3"/>
  <c r="BA148" i="3"/>
  <c r="AQ149" i="3"/>
  <c r="AP149" i="3"/>
  <c r="AK149" i="3"/>
  <c r="BA149" i="3"/>
  <c r="AQ150" i="3"/>
  <c r="AP150" i="3"/>
  <c r="AK150" i="3"/>
  <c r="BA150" i="3"/>
  <c r="AQ151" i="3"/>
  <c r="AP151" i="3"/>
  <c r="AK151" i="3"/>
  <c r="BA151" i="3"/>
  <c r="AQ152" i="3"/>
  <c r="AP152" i="3"/>
  <c r="AK152" i="3"/>
  <c r="BA152" i="3"/>
  <c r="AQ153" i="3"/>
  <c r="AP153" i="3"/>
  <c r="AK153" i="3"/>
  <c r="BA153" i="3"/>
  <c r="AQ154" i="3"/>
  <c r="AP154" i="3"/>
  <c r="AK154" i="3"/>
  <c r="BA154" i="3"/>
  <c r="AQ155" i="3"/>
  <c r="AP155" i="3"/>
  <c r="AK155" i="3"/>
  <c r="BA155" i="3"/>
  <c r="AQ156" i="3"/>
  <c r="AP156" i="3"/>
  <c r="AK156" i="3"/>
  <c r="BA156" i="3"/>
  <c r="AQ157" i="3"/>
  <c r="AP157" i="3"/>
  <c r="AK157" i="3"/>
  <c r="BA157" i="3"/>
  <c r="AQ158" i="3"/>
  <c r="AP158" i="3"/>
  <c r="AK158" i="3"/>
  <c r="BA158" i="3"/>
  <c r="AQ159" i="3"/>
  <c r="AP159" i="3"/>
  <c r="AK159" i="3"/>
  <c r="BA159" i="3"/>
  <c r="AQ160" i="3"/>
  <c r="AP160" i="3"/>
  <c r="AK160" i="3"/>
  <c r="BA160" i="3"/>
  <c r="AQ161" i="3"/>
  <c r="AP161" i="3"/>
  <c r="AK161" i="3"/>
  <c r="BA161" i="3"/>
  <c r="AQ162" i="3"/>
  <c r="AP162" i="3"/>
  <c r="AK162" i="3"/>
  <c r="BA162" i="3"/>
  <c r="AQ163" i="3"/>
  <c r="AP163" i="3"/>
  <c r="AK163" i="3"/>
  <c r="BA163" i="3"/>
  <c r="AQ164" i="3"/>
  <c r="AP164" i="3"/>
  <c r="AK164" i="3"/>
  <c r="BA164" i="3"/>
  <c r="AQ165" i="3"/>
  <c r="AP165" i="3"/>
  <c r="AK165" i="3"/>
  <c r="BA165" i="3"/>
  <c r="AQ166" i="3"/>
  <c r="AP166" i="3"/>
  <c r="AK166" i="3"/>
  <c r="BA166" i="3"/>
  <c r="AQ167" i="3"/>
  <c r="AP167" i="3"/>
  <c r="AK167" i="3"/>
  <c r="BA167" i="3"/>
  <c r="AQ168" i="3"/>
  <c r="AP168" i="3"/>
  <c r="AK168" i="3"/>
  <c r="BA168" i="3"/>
  <c r="AQ169" i="3"/>
  <c r="AP169" i="3"/>
  <c r="AK169" i="3"/>
  <c r="BA169" i="3"/>
  <c r="AQ170" i="3"/>
  <c r="AP170" i="3"/>
  <c r="AK170" i="3"/>
  <c r="BA170" i="3"/>
  <c r="AQ171" i="3"/>
  <c r="AP171" i="3"/>
  <c r="AK171" i="3"/>
  <c r="BA171" i="3"/>
  <c r="AQ172" i="3"/>
  <c r="AR172" i="3" s="1"/>
  <c r="AS172" i="3" s="1"/>
  <c r="AT172" i="3" s="1"/>
  <c r="B172" i="3" s="1"/>
  <c r="AP172" i="3"/>
  <c r="AK172" i="3"/>
  <c r="BA172" i="3"/>
  <c r="AQ173" i="3"/>
  <c r="AR173" i="3" s="1"/>
  <c r="AP173" i="3"/>
  <c r="AK173" i="3"/>
  <c r="BA173" i="3"/>
  <c r="AQ174" i="3"/>
  <c r="AP174" i="3"/>
  <c r="AR174" i="3"/>
  <c r="AS174" i="3" s="1"/>
  <c r="AT174" i="3" s="1"/>
  <c r="B174" i="3" s="1"/>
  <c r="AK174" i="3"/>
  <c r="BA174" i="3"/>
  <c r="AQ175" i="3"/>
  <c r="AP175" i="3"/>
  <c r="AK175" i="3"/>
  <c r="BA175" i="3"/>
  <c r="AQ176" i="3"/>
  <c r="AP176" i="3"/>
  <c r="AK176" i="3"/>
  <c r="BA176" i="3"/>
  <c r="AQ177" i="3"/>
  <c r="AP177" i="3"/>
  <c r="AK177" i="3"/>
  <c r="BA177" i="3"/>
  <c r="AQ178" i="3"/>
  <c r="AP178" i="3"/>
  <c r="AK178" i="3"/>
  <c r="BA178" i="3"/>
  <c r="AQ179" i="3"/>
  <c r="AP179" i="3"/>
  <c r="AK179" i="3"/>
  <c r="BA179" i="3"/>
  <c r="AQ180" i="3"/>
  <c r="AR180" i="3" s="1"/>
  <c r="AS180" i="3" s="1"/>
  <c r="AT180" i="3" s="1"/>
  <c r="B180" i="3" s="1"/>
  <c r="AP180" i="3"/>
  <c r="AK180" i="3"/>
  <c r="BA180" i="3"/>
  <c r="AQ181" i="3"/>
  <c r="AP181" i="3"/>
  <c r="AK181" i="3"/>
  <c r="BA181" i="3"/>
  <c r="AQ182" i="3"/>
  <c r="AP182" i="3"/>
  <c r="AR182" i="3"/>
  <c r="AK182" i="3"/>
  <c r="BA182" i="3"/>
  <c r="AQ183" i="3"/>
  <c r="AP183" i="3"/>
  <c r="AK183" i="3"/>
  <c r="BA183" i="3"/>
  <c r="AQ184" i="3"/>
  <c r="AP184" i="3"/>
  <c r="AK184" i="3"/>
  <c r="BA184" i="3"/>
  <c r="AQ185" i="3"/>
  <c r="AP185" i="3"/>
  <c r="AK185" i="3"/>
  <c r="BA185" i="3"/>
  <c r="AQ186" i="3"/>
  <c r="AP186" i="3"/>
  <c r="AK186" i="3"/>
  <c r="BA186" i="3"/>
  <c r="AQ187" i="3"/>
  <c r="AP187" i="3"/>
  <c r="AK187" i="3"/>
  <c r="BA187" i="3"/>
  <c r="AQ188" i="3"/>
  <c r="AR188" i="3" s="1"/>
  <c r="AS188" i="3" s="1"/>
  <c r="AT188" i="3" s="1"/>
  <c r="B188" i="3" s="1"/>
  <c r="AP188" i="3"/>
  <c r="AK188" i="3"/>
  <c r="BA188" i="3"/>
  <c r="AQ189" i="3"/>
  <c r="AR189" i="3" s="1"/>
  <c r="AS189" i="3" s="1"/>
  <c r="AT189" i="3" s="1"/>
  <c r="B189" i="3" s="1"/>
  <c r="AP189" i="3"/>
  <c r="AK189" i="3"/>
  <c r="BA189" i="3"/>
  <c r="AQ190" i="3"/>
  <c r="AP190" i="3"/>
  <c r="AK190" i="3"/>
  <c r="BA190" i="3"/>
  <c r="AQ191" i="3"/>
  <c r="AP191" i="3"/>
  <c r="AK191" i="3"/>
  <c r="BA191" i="3"/>
  <c r="AQ192" i="3"/>
  <c r="AP192" i="3"/>
  <c r="AK192" i="3"/>
  <c r="BA192" i="3"/>
  <c r="AQ193" i="3"/>
  <c r="AP193" i="3"/>
  <c r="AR193" i="3" s="1"/>
  <c r="AK193" i="3"/>
  <c r="BA193" i="3"/>
  <c r="AQ194" i="3"/>
  <c r="AP194" i="3"/>
  <c r="AK194" i="3"/>
  <c r="BA195" i="3"/>
  <c r="AQ196" i="3"/>
  <c r="AP196" i="3"/>
  <c r="AR196" i="3" s="1"/>
  <c r="AK196" i="3"/>
  <c r="BA196" i="3"/>
  <c r="AQ197" i="3"/>
  <c r="AR197" i="3" s="1"/>
  <c r="AS197" i="3" s="1"/>
  <c r="AT197" i="3" s="1"/>
  <c r="B197" i="3" s="1"/>
  <c r="AP197" i="3"/>
  <c r="AK197" i="3"/>
  <c r="BA197" i="3"/>
  <c r="AQ198" i="3"/>
  <c r="AP198" i="3"/>
  <c r="AK198" i="3"/>
  <c r="BA198" i="3"/>
  <c r="AQ199" i="3"/>
  <c r="AR199" i="3" s="1"/>
  <c r="AP199" i="3"/>
  <c r="AK199" i="3"/>
  <c r="BA199" i="3"/>
  <c r="AQ200" i="3"/>
  <c r="AP200" i="3"/>
  <c r="AK200" i="3"/>
  <c r="BA200" i="3"/>
  <c r="AQ201" i="3"/>
  <c r="AP201" i="3"/>
  <c r="AK201" i="3"/>
  <c r="BA201" i="3"/>
  <c r="AQ202" i="3"/>
  <c r="AP202" i="3"/>
  <c r="AK202" i="3"/>
  <c r="BA202" i="3"/>
  <c r="AQ203" i="3"/>
  <c r="AP203" i="3"/>
  <c r="AK203" i="3"/>
  <c r="BA203" i="3"/>
  <c r="AQ204" i="3"/>
  <c r="AP204" i="3"/>
  <c r="AK204" i="3"/>
  <c r="BA204" i="3"/>
  <c r="AQ205" i="3"/>
  <c r="AP205" i="3"/>
  <c r="AK205" i="3"/>
  <c r="BA205" i="3"/>
  <c r="AQ206" i="3"/>
  <c r="AR206" i="3" s="1"/>
  <c r="AS206" i="3" s="1"/>
  <c r="AT206" i="3" s="1"/>
  <c r="B206" i="3" s="1"/>
  <c r="AP206" i="3"/>
  <c r="AK206" i="3"/>
  <c r="BA206" i="3"/>
  <c r="AQ207" i="3"/>
  <c r="AR207" i="3" s="1"/>
  <c r="AS207" i="3" s="1"/>
  <c r="AT207" i="3" s="1"/>
  <c r="B207" i="3" s="1"/>
  <c r="AP207" i="3"/>
  <c r="AK207" i="3"/>
  <c r="BA207" i="3"/>
  <c r="AQ208" i="3"/>
  <c r="AP208" i="3"/>
  <c r="AK208" i="3"/>
  <c r="BA208" i="3"/>
  <c r="AQ209" i="3"/>
  <c r="AP209" i="3"/>
  <c r="AK209" i="3"/>
  <c r="BA209" i="3"/>
  <c r="AQ210" i="3"/>
  <c r="AP210" i="3"/>
  <c r="AK210" i="3"/>
  <c r="BA210" i="3"/>
  <c r="AQ211" i="3"/>
  <c r="AP211" i="3"/>
  <c r="AK211" i="3"/>
  <c r="BA211" i="3"/>
  <c r="AQ212" i="3"/>
  <c r="AP212" i="3"/>
  <c r="AK212" i="3"/>
  <c r="BA212" i="3"/>
  <c r="AQ213" i="3"/>
  <c r="AP213" i="3"/>
  <c r="AK213" i="3"/>
  <c r="BA213" i="3"/>
  <c r="AQ214" i="3"/>
  <c r="AR214" i="3" s="1"/>
  <c r="AS214" i="3" s="1"/>
  <c r="AT214" i="3" s="1"/>
  <c r="B214" i="3" s="1"/>
  <c r="AP214" i="3"/>
  <c r="AK214" i="3"/>
  <c r="BA214" i="3"/>
  <c r="AQ215" i="3"/>
  <c r="AR215" i="3" s="1"/>
  <c r="AS215" i="3" s="1"/>
  <c r="AT215" i="3" s="1"/>
  <c r="B215" i="3" s="1"/>
  <c r="AP215" i="3"/>
  <c r="AK215" i="3"/>
  <c r="BA215" i="3"/>
  <c r="AQ216" i="3"/>
  <c r="AP216" i="3"/>
  <c r="AK216" i="3"/>
  <c r="BA216" i="3"/>
  <c r="AQ217" i="3"/>
  <c r="AP217" i="3"/>
  <c r="AK217" i="3"/>
  <c r="BA217" i="3"/>
  <c r="AQ218" i="3"/>
  <c r="AP218" i="3"/>
  <c r="AK218" i="3"/>
  <c r="BA218" i="3"/>
  <c r="AQ219" i="3"/>
  <c r="AP219" i="3"/>
  <c r="AK219" i="3"/>
  <c r="BA219" i="3"/>
  <c r="AQ220" i="3"/>
  <c r="AP220" i="3"/>
  <c r="AK220" i="3"/>
  <c r="BA220" i="3"/>
  <c r="AQ221" i="3"/>
  <c r="AP221" i="3"/>
  <c r="AK221" i="3"/>
  <c r="BA221" i="3"/>
  <c r="AQ222" i="3"/>
  <c r="AR222" i="3" s="1"/>
  <c r="AS222" i="3" s="1"/>
  <c r="AT222" i="3" s="1"/>
  <c r="B222" i="3" s="1"/>
  <c r="AP222" i="3"/>
  <c r="AK222" i="3"/>
  <c r="BA222" i="3"/>
  <c r="AQ223" i="3"/>
  <c r="AP223" i="3"/>
  <c r="AK223" i="3"/>
  <c r="BA223" i="3"/>
  <c r="AQ224" i="3"/>
  <c r="AP224" i="3"/>
  <c r="AK224" i="3"/>
  <c r="BA224" i="3"/>
  <c r="AQ225" i="3"/>
  <c r="AP225" i="3"/>
  <c r="AK225" i="3"/>
  <c r="BA225" i="3"/>
  <c r="AQ226" i="3"/>
  <c r="AP226" i="3"/>
  <c r="AK226" i="3"/>
  <c r="BA226" i="3"/>
  <c r="AQ227" i="3"/>
  <c r="AR227" i="3" s="1"/>
  <c r="AP227" i="3"/>
  <c r="AK227" i="3"/>
  <c r="BA227" i="3"/>
  <c r="AQ228" i="3"/>
  <c r="AP228" i="3"/>
  <c r="AK228" i="3"/>
  <c r="BA228" i="3"/>
  <c r="AQ229" i="3"/>
  <c r="AR229" i="3" s="1"/>
  <c r="AP229" i="3"/>
  <c r="AK229" i="3"/>
  <c r="BA229" i="3"/>
  <c r="AQ230" i="3"/>
  <c r="AP230" i="3"/>
  <c r="AK230" i="3"/>
  <c r="BA230" i="3"/>
  <c r="AQ231" i="3"/>
  <c r="AR231" i="3" s="1"/>
  <c r="AS231" i="3" s="1"/>
  <c r="AT231" i="3" s="1"/>
  <c r="B231" i="3" s="1"/>
  <c r="AP231" i="3"/>
  <c r="AK231" i="3"/>
  <c r="BA231" i="3"/>
  <c r="AQ232" i="3"/>
  <c r="AP232" i="3"/>
  <c r="AK232" i="3"/>
  <c r="BA232" i="3"/>
  <c r="AQ233" i="3"/>
  <c r="AP233" i="3"/>
  <c r="AK233" i="3"/>
  <c r="BA233" i="3"/>
  <c r="AQ234" i="3"/>
  <c r="AR234" i="3" s="1"/>
  <c r="AP234" i="3"/>
  <c r="AK234" i="3"/>
  <c r="BA234" i="3"/>
  <c r="AQ235" i="3"/>
  <c r="AP235" i="3"/>
  <c r="AR235" i="3"/>
  <c r="AS235" i="3" s="1"/>
  <c r="AT235" i="3" s="1"/>
  <c r="B235" i="3" s="1"/>
  <c r="AK235" i="3"/>
  <c r="BA235" i="3"/>
  <c r="AQ236" i="3"/>
  <c r="AR236" i="3" s="1"/>
  <c r="AP236" i="3"/>
  <c r="AK236" i="3"/>
  <c r="BA236" i="3"/>
  <c r="AQ237" i="3"/>
  <c r="AP237" i="3"/>
  <c r="AK237" i="3"/>
  <c r="BA237" i="3"/>
  <c r="AQ238" i="3"/>
  <c r="AP238" i="3"/>
  <c r="AK238" i="3"/>
  <c r="BA238" i="3"/>
  <c r="AQ239" i="3"/>
  <c r="AR239" i="3" s="1"/>
  <c r="AS239" i="3" s="1"/>
  <c r="AT239" i="3" s="1"/>
  <c r="B239" i="3" s="1"/>
  <c r="AP239" i="3"/>
  <c r="AK239" i="3"/>
  <c r="BA239" i="3"/>
  <c r="AQ240" i="3"/>
  <c r="AP240" i="3"/>
  <c r="AK240" i="3"/>
  <c r="BA240" i="3"/>
  <c r="AQ241" i="3"/>
  <c r="AP241" i="3"/>
  <c r="AK241" i="3"/>
  <c r="BA241" i="3"/>
  <c r="AQ242" i="3"/>
  <c r="AP242" i="3"/>
  <c r="AK242" i="3"/>
  <c r="BA242" i="3"/>
  <c r="AQ243" i="3"/>
  <c r="AP243" i="3"/>
  <c r="AK243" i="3"/>
  <c r="BA243" i="3"/>
  <c r="AQ244" i="3"/>
  <c r="AR244" i="3" s="1"/>
  <c r="AS244" i="3" s="1"/>
  <c r="AT244" i="3" s="1"/>
  <c r="B244" i="3" s="1"/>
  <c r="AP244" i="3"/>
  <c r="AK244" i="3"/>
  <c r="BA244" i="3"/>
  <c r="AQ245" i="3"/>
  <c r="AP245" i="3"/>
  <c r="AK245" i="3"/>
  <c r="BA245" i="3"/>
  <c r="AQ246" i="3"/>
  <c r="AP246" i="3"/>
  <c r="AR246" i="3"/>
  <c r="AS246" i="3" s="1"/>
  <c r="AT246" i="3" s="1"/>
  <c r="B246" i="3" s="1"/>
  <c r="AK246" i="3"/>
  <c r="BA246" i="3"/>
  <c r="AQ247" i="3"/>
  <c r="AP247" i="3"/>
  <c r="AK247" i="3"/>
  <c r="BA247" i="3"/>
  <c r="AQ248" i="3"/>
  <c r="AR248" i="3" s="1"/>
  <c r="AP248" i="3"/>
  <c r="AK248" i="3"/>
  <c r="BA248" i="3"/>
  <c r="AQ249" i="3"/>
  <c r="AP249" i="3"/>
  <c r="AK249" i="3"/>
  <c r="BA249" i="3"/>
  <c r="AQ250" i="3"/>
  <c r="AP250" i="3"/>
  <c r="AK250" i="3"/>
  <c r="BA250" i="3"/>
  <c r="AQ251" i="3"/>
  <c r="AP251" i="3"/>
  <c r="AR251" i="3" s="1"/>
  <c r="AK251" i="3"/>
  <c r="BA251" i="3"/>
  <c r="AQ252" i="3"/>
  <c r="AP252" i="3"/>
  <c r="AK252" i="3"/>
  <c r="BA252" i="3"/>
  <c r="AQ253" i="3"/>
  <c r="AP253" i="3"/>
  <c r="AR253" i="3" s="1"/>
  <c r="AS253" i="3" s="1"/>
  <c r="AT253" i="3" s="1"/>
  <c r="B253" i="3" s="1"/>
  <c r="AK253" i="3"/>
  <c r="BA253" i="3"/>
  <c r="AQ254" i="3"/>
  <c r="AR254" i="3" s="1"/>
  <c r="AS254" i="3" s="1"/>
  <c r="AT254" i="3" s="1"/>
  <c r="B254" i="3" s="1"/>
  <c r="AP254" i="3"/>
  <c r="AK254" i="3"/>
  <c r="BA254" i="3"/>
  <c r="AQ255" i="3"/>
  <c r="AR255" i="3" s="1"/>
  <c r="AP255" i="3"/>
  <c r="AK255" i="3"/>
  <c r="BA255" i="3"/>
  <c r="AQ256" i="3"/>
  <c r="AR256" i="3" s="1"/>
  <c r="AP256" i="3"/>
  <c r="AK256" i="3"/>
  <c r="BA256" i="3"/>
  <c r="AQ257" i="3"/>
  <c r="AP257" i="3"/>
  <c r="AK257" i="3"/>
  <c r="BA257" i="3"/>
  <c r="AQ258" i="3"/>
  <c r="AP258" i="3"/>
  <c r="AK258" i="3"/>
  <c r="BA258" i="3"/>
  <c r="AQ259" i="3"/>
  <c r="AR259" i="3" s="1"/>
  <c r="AP259" i="3"/>
  <c r="AK259" i="3"/>
  <c r="BA259" i="3"/>
  <c r="AQ260" i="3"/>
  <c r="AP260" i="3"/>
  <c r="AK260" i="3"/>
  <c r="BA260" i="3"/>
  <c r="AQ261" i="3"/>
  <c r="AR261" i="3" s="1"/>
  <c r="AP261" i="3"/>
  <c r="AK261" i="3"/>
  <c r="BA261" i="3"/>
  <c r="AQ262" i="3"/>
  <c r="AP262" i="3"/>
  <c r="AK262" i="3"/>
  <c r="BA262" i="3"/>
  <c r="AQ263" i="3"/>
  <c r="AR263" i="3" s="1"/>
  <c r="AS263" i="3" s="1"/>
  <c r="AT263" i="3" s="1"/>
  <c r="B263" i="3" s="1"/>
  <c r="AP263" i="3"/>
  <c r="AK263" i="3"/>
  <c r="BA263" i="3"/>
  <c r="AQ264" i="3"/>
  <c r="AP264" i="3"/>
  <c r="AK264" i="3"/>
  <c r="BA264" i="3"/>
  <c r="AQ265" i="3"/>
  <c r="AP265" i="3"/>
  <c r="AK265" i="3"/>
  <c r="BA265" i="3"/>
  <c r="AQ266" i="3"/>
  <c r="AP266" i="3"/>
  <c r="AR266" i="3"/>
  <c r="AK266" i="3"/>
  <c r="BA266" i="3"/>
  <c r="AQ267" i="3"/>
  <c r="AR267" i="3" s="1"/>
  <c r="AS267" i="3" s="1"/>
  <c r="AT267" i="3" s="1"/>
  <c r="B267" i="3" s="1"/>
  <c r="AP267" i="3"/>
  <c r="AK267" i="3"/>
  <c r="BA267" i="3"/>
  <c r="AQ268" i="3"/>
  <c r="AR268" i="3" s="1"/>
  <c r="AP268" i="3"/>
  <c r="AK268" i="3"/>
  <c r="BA268" i="3"/>
  <c r="AQ269" i="3"/>
  <c r="AP269" i="3"/>
  <c r="AK269" i="3"/>
  <c r="BA269" i="3"/>
  <c r="AQ270" i="3"/>
  <c r="AP270" i="3"/>
  <c r="AK270" i="3"/>
  <c r="BA270" i="3"/>
  <c r="AQ271" i="3"/>
  <c r="AR271" i="3" s="1"/>
  <c r="AS271" i="3" s="1"/>
  <c r="AT271" i="3" s="1"/>
  <c r="B271" i="3" s="1"/>
  <c r="AP271" i="3"/>
  <c r="AK271" i="3"/>
  <c r="BA271" i="3"/>
  <c r="AQ272" i="3"/>
  <c r="AP272" i="3"/>
  <c r="AK272" i="3"/>
  <c r="BA272" i="3"/>
  <c r="AQ273" i="3"/>
  <c r="AP273" i="3"/>
  <c r="AK273" i="3"/>
  <c r="BA273" i="3"/>
  <c r="AQ274" i="3"/>
  <c r="AP274" i="3"/>
  <c r="AK274" i="3"/>
  <c r="BA274" i="3"/>
  <c r="AQ275" i="3"/>
  <c r="AP275" i="3"/>
  <c r="AK275" i="3"/>
  <c r="BA275" i="3"/>
  <c r="AQ276" i="3"/>
  <c r="AR276" i="3" s="1"/>
  <c r="AS276" i="3" s="1"/>
  <c r="AT276" i="3" s="1"/>
  <c r="B276" i="3" s="1"/>
  <c r="AP276" i="3"/>
  <c r="AK276" i="3"/>
  <c r="BA276" i="3"/>
  <c r="AQ277" i="3"/>
  <c r="AP277" i="3"/>
  <c r="AK277" i="3"/>
  <c r="BA277" i="3"/>
  <c r="AQ278" i="3"/>
  <c r="AR278" i="3" s="1"/>
  <c r="AS278" i="3" s="1"/>
  <c r="AT278" i="3" s="1"/>
  <c r="B278" i="3" s="1"/>
  <c r="AP278" i="3"/>
  <c r="AK278" i="3"/>
  <c r="BA278" i="3"/>
  <c r="AQ279" i="3"/>
  <c r="AR279" i="3" s="1"/>
  <c r="AP279" i="3"/>
  <c r="AK279" i="3"/>
  <c r="BA279" i="3"/>
  <c r="AQ280" i="3"/>
  <c r="AP280" i="3"/>
  <c r="AK280" i="3"/>
  <c r="BA280" i="3"/>
  <c r="AQ281" i="3"/>
  <c r="AP281" i="3"/>
  <c r="AR281" i="3" s="1"/>
  <c r="AK281" i="3"/>
  <c r="BA281" i="3"/>
  <c r="AQ282" i="3"/>
  <c r="AP282" i="3"/>
  <c r="AK282" i="3"/>
  <c r="BA282" i="3"/>
  <c r="AQ283" i="3"/>
  <c r="AP283" i="3"/>
  <c r="AR283" i="3" s="1"/>
  <c r="AK283" i="3"/>
  <c r="BA283" i="3"/>
  <c r="AQ284" i="3"/>
  <c r="AP284" i="3"/>
  <c r="AK284" i="3"/>
  <c r="BA284" i="3"/>
  <c r="AQ285" i="3"/>
  <c r="AP285" i="3"/>
  <c r="AR285" i="3"/>
  <c r="AS285" i="3" s="1"/>
  <c r="AT285" i="3" s="1"/>
  <c r="B285" i="3" s="1"/>
  <c r="AK285" i="3"/>
  <c r="BA285" i="3"/>
  <c r="AQ286" i="3"/>
  <c r="AR286" i="3" s="1"/>
  <c r="AS286" i="3" s="1"/>
  <c r="AT286" i="3" s="1"/>
  <c r="B286" i="3" s="1"/>
  <c r="AP286" i="3"/>
  <c r="AK286" i="3"/>
  <c r="BA286" i="3"/>
  <c r="AQ287" i="3"/>
  <c r="AP287" i="3"/>
  <c r="AK287" i="3"/>
  <c r="BA287" i="3"/>
  <c r="AQ288" i="3"/>
  <c r="AP288" i="3"/>
  <c r="AK288" i="3"/>
  <c r="BA288" i="3"/>
  <c r="AQ289" i="3"/>
  <c r="AP289" i="3"/>
  <c r="AK289" i="3"/>
  <c r="BA289" i="3"/>
  <c r="AQ290" i="3"/>
  <c r="AP290" i="3"/>
  <c r="AK290" i="3"/>
  <c r="BA290" i="3"/>
  <c r="AQ291" i="3"/>
  <c r="AR291" i="3" s="1"/>
  <c r="AP291" i="3"/>
  <c r="AK291" i="3"/>
  <c r="BA292" i="3"/>
  <c r="B293" i="3"/>
  <c r="AO293" i="3"/>
  <c r="AP293" i="3" s="1"/>
  <c r="AQ293" i="3"/>
  <c r="AU293" i="3"/>
  <c r="AV293" i="3" s="1"/>
  <c r="AW293" i="3" s="1"/>
  <c r="AX293" i="3"/>
  <c r="AY293" i="3" s="1"/>
  <c r="BA293" i="3"/>
  <c r="B294" i="3"/>
  <c r="AO294" i="3"/>
  <c r="AP294" i="3" s="1"/>
  <c r="AQ294" i="3"/>
  <c r="AU294" i="3"/>
  <c r="AV294" i="3" s="1"/>
  <c r="AW294" i="3" s="1"/>
  <c r="AX294" i="3"/>
  <c r="AY294" i="3" s="1"/>
  <c r="BA294" i="3"/>
  <c r="B295" i="3"/>
  <c r="AO295" i="3"/>
  <c r="AP295" i="3" s="1"/>
  <c r="AQ295" i="3"/>
  <c r="AU295" i="3"/>
  <c r="AV295" i="3" s="1"/>
  <c r="AW295" i="3" s="1"/>
  <c r="AX295" i="3"/>
  <c r="AY295" i="3" s="1"/>
  <c r="BA295" i="3"/>
  <c r="B296" i="3"/>
  <c r="AO296" i="3"/>
  <c r="AP296" i="3" s="1"/>
  <c r="AQ296" i="3"/>
  <c r="AU296" i="3"/>
  <c r="AV296" i="3"/>
  <c r="AW296" i="3" s="1"/>
  <c r="AX296" i="3"/>
  <c r="AY296" i="3" s="1"/>
  <c r="BA296" i="3"/>
  <c r="B297" i="3"/>
  <c r="AO297" i="3"/>
  <c r="AP297" i="3" s="1"/>
  <c r="AQ297" i="3"/>
  <c r="AU297" i="3"/>
  <c r="AV297" i="3" s="1"/>
  <c r="AW297" i="3" s="1"/>
  <c r="AX297" i="3"/>
  <c r="AY297" i="3" s="1"/>
  <c r="BA297" i="3"/>
  <c r="B298" i="3"/>
  <c r="AO298" i="3"/>
  <c r="AP298" i="3" s="1"/>
  <c r="AQ298" i="3"/>
  <c r="AU298" i="3"/>
  <c r="AV298" i="3" s="1"/>
  <c r="AW298" i="3" s="1"/>
  <c r="AX298" i="3"/>
  <c r="AY298" i="3" s="1"/>
  <c r="BA298" i="3"/>
  <c r="B299" i="3"/>
  <c r="AO299" i="3"/>
  <c r="AP299" i="3" s="1"/>
  <c r="AQ299" i="3"/>
  <c r="AU299" i="3"/>
  <c r="AV299" i="3" s="1"/>
  <c r="AW299" i="3" s="1"/>
  <c r="AX299" i="3"/>
  <c r="AY299" i="3" s="1"/>
  <c r="BA299" i="3"/>
  <c r="B300" i="3"/>
  <c r="AO300" i="3"/>
  <c r="AP300" i="3" s="1"/>
  <c r="AQ300" i="3"/>
  <c r="AU300" i="3"/>
  <c r="AV300" i="3"/>
  <c r="AW300" i="3" s="1"/>
  <c r="AX300" i="3"/>
  <c r="AY300" i="3" s="1"/>
  <c r="BA300" i="3"/>
  <c r="B301" i="3"/>
  <c r="AO301" i="3"/>
  <c r="AP301" i="3" s="1"/>
  <c r="AQ301" i="3"/>
  <c r="AU301" i="3"/>
  <c r="AV301" i="3" s="1"/>
  <c r="AW301" i="3" s="1"/>
  <c r="AX301" i="3"/>
  <c r="AY301" i="3" s="1"/>
  <c r="BA301" i="3"/>
  <c r="B302" i="3"/>
  <c r="AO302" i="3"/>
  <c r="AP302" i="3" s="1"/>
  <c r="AQ302" i="3"/>
  <c r="AU302" i="3"/>
  <c r="AV302" i="3" s="1"/>
  <c r="AW302" i="3" s="1"/>
  <c r="AX302" i="3"/>
  <c r="AY302" i="3" s="1"/>
  <c r="BA302" i="3"/>
  <c r="B303" i="3"/>
  <c r="AO303" i="3"/>
  <c r="AP303" i="3" s="1"/>
  <c r="AQ303" i="3"/>
  <c r="AR303" i="3" s="1"/>
  <c r="AU303" i="3"/>
  <c r="AV303" i="3"/>
  <c r="AW303" i="3" s="1"/>
  <c r="AX303" i="3"/>
  <c r="AY303" i="3" s="1"/>
  <c r="BA303" i="3"/>
  <c r="B304" i="3"/>
  <c r="AO304" i="3"/>
  <c r="AP304" i="3" s="1"/>
  <c r="AQ304" i="3"/>
  <c r="BA304" i="3"/>
  <c r="B305" i="3"/>
  <c r="AO305" i="3"/>
  <c r="AP305" i="3" s="1"/>
  <c r="AQ305" i="3"/>
  <c r="AU305" i="3"/>
  <c r="AV305" i="3"/>
  <c r="AW305" i="3" s="1"/>
  <c r="AX305" i="3"/>
  <c r="AY305" i="3" s="1"/>
  <c r="BA305" i="3"/>
  <c r="B306" i="3"/>
  <c r="AO306" i="3"/>
  <c r="AP306" i="3" s="1"/>
  <c r="AQ306" i="3"/>
  <c r="AU306" i="3"/>
  <c r="AV306" i="3"/>
  <c r="AW306" i="3" s="1"/>
  <c r="AX306" i="3"/>
  <c r="AY306" i="3" s="1"/>
  <c r="BA306" i="3"/>
  <c r="B307" i="3"/>
  <c r="AO307" i="3"/>
  <c r="AP307" i="3" s="1"/>
  <c r="AQ307" i="3"/>
  <c r="AU307" i="3"/>
  <c r="AV307" i="3" s="1"/>
  <c r="AW307" i="3" s="1"/>
  <c r="AX307" i="3"/>
  <c r="AY307" i="3" s="1"/>
  <c r="BA307" i="3"/>
  <c r="B308" i="3"/>
  <c r="AO308" i="3"/>
  <c r="AP308" i="3" s="1"/>
  <c r="AQ308" i="3"/>
  <c r="AU308" i="3"/>
  <c r="AV308" i="3" s="1"/>
  <c r="AW308" i="3" s="1"/>
  <c r="AX308" i="3"/>
  <c r="AY308" i="3" s="1"/>
  <c r="BA308" i="3"/>
  <c r="B309" i="3"/>
  <c r="AO309" i="3"/>
  <c r="AP309" i="3" s="1"/>
  <c r="AR309" i="3" s="1"/>
  <c r="AS309" i="3" s="1"/>
  <c r="AT309" i="3" s="1"/>
  <c r="AQ309" i="3"/>
  <c r="AU309" i="3"/>
  <c r="AV309" i="3"/>
  <c r="AW309" i="3" s="1"/>
  <c r="AX309" i="3"/>
  <c r="AY309" i="3" s="1"/>
  <c r="BA309" i="3"/>
  <c r="B310" i="3"/>
  <c r="AO310" i="3"/>
  <c r="AP310" i="3" s="1"/>
  <c r="AQ310" i="3"/>
  <c r="AU310" i="3"/>
  <c r="AV310" i="3"/>
  <c r="AW310" i="3" s="1"/>
  <c r="AX310" i="3"/>
  <c r="AY310" i="3" s="1"/>
  <c r="BA310" i="3"/>
  <c r="B311" i="3"/>
  <c r="AO311" i="3"/>
  <c r="AP311" i="3" s="1"/>
  <c r="AQ311" i="3"/>
  <c r="AU311" i="3"/>
  <c r="AV311" i="3" s="1"/>
  <c r="AW311" i="3" s="1"/>
  <c r="AX311" i="3"/>
  <c r="AY311" i="3" s="1"/>
  <c r="BA311" i="3"/>
  <c r="B312" i="3"/>
  <c r="AO312" i="3"/>
  <c r="AP312" i="3" s="1"/>
  <c r="AQ312" i="3"/>
  <c r="AU312" i="3"/>
  <c r="AV312" i="3"/>
  <c r="AW312" i="3" s="1"/>
  <c r="AX312" i="3"/>
  <c r="AY312" i="3" s="1"/>
  <c r="BA312" i="3"/>
  <c r="B313" i="3"/>
  <c r="AO313" i="3"/>
  <c r="AP313" i="3" s="1"/>
  <c r="AQ313" i="3"/>
  <c r="AU313" i="3"/>
  <c r="AV313" i="3" s="1"/>
  <c r="AW313" i="3" s="1"/>
  <c r="AX313" i="3"/>
  <c r="AY313" i="3" s="1"/>
  <c r="BA313" i="3"/>
  <c r="B314" i="3"/>
  <c r="AO314" i="3"/>
  <c r="AP314" i="3" s="1"/>
  <c r="AQ314" i="3"/>
  <c r="AU314" i="3"/>
  <c r="AV314" i="3" s="1"/>
  <c r="AW314" i="3" s="1"/>
  <c r="AX314" i="3"/>
  <c r="AY314" i="3" s="1"/>
  <c r="BA314" i="3"/>
  <c r="B315" i="3"/>
  <c r="AO315" i="3"/>
  <c r="AP315" i="3" s="1"/>
  <c r="AQ315" i="3"/>
  <c r="AU315" i="3"/>
  <c r="AV315" i="3" s="1"/>
  <c r="AW315" i="3" s="1"/>
  <c r="AX315" i="3"/>
  <c r="AY315" i="3" s="1"/>
  <c r="BA315" i="3"/>
  <c r="B316" i="3"/>
  <c r="AO316" i="3"/>
  <c r="AP316" i="3" s="1"/>
  <c r="AQ316" i="3"/>
  <c r="AU316" i="3"/>
  <c r="AV316" i="3"/>
  <c r="AW316" i="3" s="1"/>
  <c r="AX316" i="3"/>
  <c r="AY316" i="3"/>
  <c r="BA316" i="3"/>
  <c r="B317" i="3"/>
  <c r="AO317" i="3"/>
  <c r="AP317" i="3" s="1"/>
  <c r="AQ317" i="3"/>
  <c r="AU317" i="3"/>
  <c r="AV317" i="3"/>
  <c r="AW317" i="3" s="1"/>
  <c r="AX317" i="3"/>
  <c r="AY317" i="3" s="1"/>
  <c r="BA317" i="3"/>
  <c r="B318" i="3"/>
  <c r="AO318" i="3"/>
  <c r="AP318" i="3" s="1"/>
  <c r="AQ318" i="3"/>
  <c r="AU318" i="3"/>
  <c r="AV318" i="3" s="1"/>
  <c r="AW318" i="3" s="1"/>
  <c r="AX318" i="3"/>
  <c r="AY318" i="3" s="1"/>
  <c r="BA318" i="3"/>
  <c r="B319" i="3"/>
  <c r="AO319" i="3"/>
  <c r="AP319" i="3" s="1"/>
  <c r="AQ319" i="3"/>
  <c r="AU319" i="3"/>
  <c r="AV319" i="3" s="1"/>
  <c r="AW319" i="3" s="1"/>
  <c r="AX319" i="3"/>
  <c r="AY319" i="3" s="1"/>
  <c r="BA319" i="3"/>
  <c r="B320" i="3"/>
  <c r="AO320" i="3"/>
  <c r="AP320" i="3" s="1"/>
  <c r="AQ320" i="3"/>
  <c r="AU320" i="3"/>
  <c r="AV320" i="3"/>
  <c r="AW320" i="3" s="1"/>
  <c r="AX320" i="3"/>
  <c r="AY320" i="3" s="1"/>
  <c r="BA320" i="3"/>
  <c r="B321" i="3"/>
  <c r="AO321" i="3"/>
  <c r="AP321" i="3" s="1"/>
  <c r="AQ321" i="3"/>
  <c r="AU321" i="3"/>
  <c r="AV321" i="3"/>
  <c r="AW321" i="3" s="1"/>
  <c r="AX321" i="3"/>
  <c r="AY321" i="3" s="1"/>
  <c r="BA321" i="3"/>
  <c r="B322" i="3"/>
  <c r="AO322" i="3"/>
  <c r="AP322" i="3" s="1"/>
  <c r="AQ322" i="3"/>
  <c r="AU322" i="3"/>
  <c r="AV322" i="3"/>
  <c r="AW322" i="3" s="1"/>
  <c r="AX322" i="3"/>
  <c r="AY322" i="3" s="1"/>
  <c r="BA322" i="3"/>
  <c r="B323" i="3"/>
  <c r="AO323" i="3"/>
  <c r="AP323" i="3" s="1"/>
  <c r="AR323" i="3" s="1"/>
  <c r="AQ323" i="3"/>
  <c r="AU323" i="3"/>
  <c r="AV323" i="3" s="1"/>
  <c r="AW323" i="3"/>
  <c r="AX323" i="3"/>
  <c r="AY323" i="3" s="1"/>
  <c r="BA323" i="3"/>
  <c r="B324" i="3"/>
  <c r="AO324" i="3"/>
  <c r="AP324" i="3" s="1"/>
  <c r="AQ324" i="3"/>
  <c r="AU324" i="3"/>
  <c r="AV324" i="3" s="1"/>
  <c r="AW324" i="3" s="1"/>
  <c r="AX324" i="3"/>
  <c r="AY324" i="3" s="1"/>
  <c r="BA324" i="3"/>
  <c r="B325" i="3"/>
  <c r="AO325" i="3"/>
  <c r="AP325" i="3" s="1"/>
  <c r="AQ325" i="3"/>
  <c r="AU325" i="3"/>
  <c r="AV325" i="3"/>
  <c r="AW325" i="3" s="1"/>
  <c r="AX325" i="3"/>
  <c r="AY325" i="3" s="1"/>
  <c r="BA325" i="3"/>
  <c r="B326" i="3"/>
  <c r="AO326" i="3"/>
  <c r="AP326" i="3" s="1"/>
  <c r="AQ326" i="3"/>
  <c r="AU326" i="3"/>
  <c r="AV326" i="3"/>
  <c r="AW326" i="3" s="1"/>
  <c r="AX326" i="3"/>
  <c r="AY326" i="3" s="1"/>
  <c r="BA326" i="3"/>
  <c r="B327" i="3"/>
  <c r="AO327" i="3"/>
  <c r="AP327" i="3" s="1"/>
  <c r="AR327" i="3" s="1"/>
  <c r="AQ327" i="3"/>
  <c r="AU327" i="3"/>
  <c r="AV327" i="3" s="1"/>
  <c r="AW327" i="3" s="1"/>
  <c r="AX327" i="3"/>
  <c r="AY327" i="3" s="1"/>
  <c r="BA327" i="3"/>
  <c r="B328" i="3"/>
  <c r="AO328" i="3"/>
  <c r="AP328" i="3" s="1"/>
  <c r="AQ328" i="3"/>
  <c r="AU328" i="3"/>
  <c r="AV328" i="3"/>
  <c r="AW328" i="3" s="1"/>
  <c r="AX328" i="3"/>
  <c r="AY328" i="3"/>
  <c r="BA328" i="3"/>
  <c r="B329" i="3"/>
  <c r="AO329" i="3"/>
  <c r="AP329" i="3" s="1"/>
  <c r="AQ329" i="3"/>
  <c r="AU329" i="3"/>
  <c r="AV329" i="3" s="1"/>
  <c r="AW329" i="3" s="1"/>
  <c r="AX329" i="3"/>
  <c r="AY329" i="3" s="1"/>
  <c r="BA329" i="3"/>
  <c r="B330" i="3"/>
  <c r="AO330" i="3"/>
  <c r="AP330" i="3" s="1"/>
  <c r="AR330" i="3" s="1"/>
  <c r="AS330" i="3" s="1"/>
  <c r="AT330" i="3" s="1"/>
  <c r="AQ330" i="3"/>
  <c r="AU330" i="3"/>
  <c r="AV330" i="3"/>
  <c r="AW330" i="3" s="1"/>
  <c r="AX330" i="3"/>
  <c r="AY330" i="3" s="1"/>
  <c r="BA330" i="3"/>
  <c r="B331" i="3"/>
  <c r="AO331" i="3"/>
  <c r="AP331" i="3" s="1"/>
  <c r="AQ331" i="3"/>
  <c r="AU331" i="3"/>
  <c r="AV331" i="3" s="1"/>
  <c r="AW331" i="3" s="1"/>
  <c r="AX331" i="3"/>
  <c r="AY331" i="3" s="1"/>
  <c r="BA331" i="3"/>
  <c r="B332" i="3"/>
  <c r="AO332" i="3"/>
  <c r="AP332" i="3" s="1"/>
  <c r="AQ332" i="3"/>
  <c r="AU332" i="3"/>
  <c r="AV332" i="3"/>
  <c r="AW332" i="3" s="1"/>
  <c r="AX332" i="3"/>
  <c r="AY332" i="3" s="1"/>
  <c r="BA332" i="3"/>
  <c r="B333" i="3"/>
  <c r="AO333" i="3"/>
  <c r="AP333" i="3" s="1"/>
  <c r="AQ333" i="3"/>
  <c r="AU333" i="3"/>
  <c r="AV333" i="3" s="1"/>
  <c r="AW333" i="3" s="1"/>
  <c r="AX333" i="3"/>
  <c r="AY333" i="3" s="1"/>
  <c r="BA333" i="3"/>
  <c r="B334" i="3"/>
  <c r="AO334" i="3"/>
  <c r="AP334" i="3" s="1"/>
  <c r="AQ334" i="3"/>
  <c r="AU334" i="3"/>
  <c r="AV334" i="3"/>
  <c r="AW334" i="3" s="1"/>
  <c r="AX334" i="3"/>
  <c r="AY334" i="3" s="1"/>
  <c r="BA335" i="3"/>
  <c r="AQ336" i="3"/>
  <c r="AO336" i="3"/>
  <c r="AP336" i="3" s="1"/>
  <c r="AK336" i="3"/>
  <c r="AL336" i="3"/>
  <c r="AM336" i="3"/>
  <c r="AN336" i="3"/>
  <c r="AU336" i="3"/>
  <c r="AV336" i="3" s="1"/>
  <c r="AW336" i="3" s="1"/>
  <c r="AX336" i="3"/>
  <c r="AY336" i="3" s="1"/>
  <c r="BA336" i="3"/>
  <c r="AQ337" i="3"/>
  <c r="AO337" i="3"/>
  <c r="AP337" i="3" s="1"/>
  <c r="AK337" i="3"/>
  <c r="AL337" i="3"/>
  <c r="AM337" i="3"/>
  <c r="AN337" i="3"/>
  <c r="AU337" i="3"/>
  <c r="AV337" i="3"/>
  <c r="AW337" i="3" s="1"/>
  <c r="AZ337" i="3" s="1"/>
  <c r="AX337" i="3"/>
  <c r="AY337" i="3" s="1"/>
  <c r="BA337" i="3"/>
  <c r="AQ338" i="3"/>
  <c r="AO338" i="3"/>
  <c r="AP338" i="3" s="1"/>
  <c r="AK338" i="3"/>
  <c r="AL338" i="3"/>
  <c r="AM338" i="3"/>
  <c r="AN338" i="3"/>
  <c r="AU338" i="3"/>
  <c r="AV338" i="3" s="1"/>
  <c r="AW338" i="3" s="1"/>
  <c r="AX338" i="3"/>
  <c r="AY338" i="3" s="1"/>
  <c r="BA338" i="3"/>
  <c r="AQ339" i="3"/>
  <c r="AO339" i="3"/>
  <c r="AP339" i="3" s="1"/>
  <c r="AK339" i="3"/>
  <c r="AL339" i="3"/>
  <c r="AM339" i="3"/>
  <c r="AN339" i="3"/>
  <c r="AU339" i="3"/>
  <c r="AV339" i="3"/>
  <c r="AW339" i="3" s="1"/>
  <c r="AX339" i="3"/>
  <c r="AY339" i="3" s="1"/>
  <c r="BA339" i="3"/>
  <c r="AQ340" i="3"/>
  <c r="AO340" i="3"/>
  <c r="AP340" i="3" s="1"/>
  <c r="AK340" i="3"/>
  <c r="AL340" i="3"/>
  <c r="AM340" i="3"/>
  <c r="AN340" i="3"/>
  <c r="AU340" i="3"/>
  <c r="AV340" i="3"/>
  <c r="AW340" i="3" s="1"/>
  <c r="AX340" i="3"/>
  <c r="AY340" i="3" s="1"/>
  <c r="BA340" i="3"/>
  <c r="AQ341" i="3"/>
  <c r="AO341" i="3"/>
  <c r="AP341" i="3" s="1"/>
  <c r="AK341" i="3"/>
  <c r="AL341" i="3"/>
  <c r="AM341" i="3"/>
  <c r="AN341" i="3"/>
  <c r="AU341" i="3"/>
  <c r="AV341" i="3"/>
  <c r="AW341" i="3" s="1"/>
  <c r="AX341" i="3"/>
  <c r="AY341" i="3" s="1"/>
  <c r="BA341" i="3"/>
  <c r="AQ342" i="3"/>
  <c r="AO342" i="3"/>
  <c r="AP342" i="3" s="1"/>
  <c r="AK342" i="3"/>
  <c r="AL342" i="3"/>
  <c r="AM342" i="3"/>
  <c r="AN342" i="3"/>
  <c r="AU342" i="3"/>
  <c r="AV342" i="3"/>
  <c r="AW342" i="3" s="1"/>
  <c r="AX342" i="3"/>
  <c r="AY342" i="3" s="1"/>
  <c r="BA342" i="3"/>
  <c r="AQ343" i="3"/>
  <c r="AO343" i="3"/>
  <c r="AP343" i="3" s="1"/>
  <c r="AK343" i="3"/>
  <c r="AL343" i="3"/>
  <c r="AM343" i="3"/>
  <c r="AN343" i="3"/>
  <c r="AU343" i="3"/>
  <c r="AV343" i="3" s="1"/>
  <c r="AW343" i="3" s="1"/>
  <c r="AX343" i="3"/>
  <c r="AY343" i="3" s="1"/>
  <c r="BA343" i="3"/>
  <c r="AQ344" i="3"/>
  <c r="AO344" i="3"/>
  <c r="AP344" i="3" s="1"/>
  <c r="AR344" i="3" s="1"/>
  <c r="AS344" i="3" s="1"/>
  <c r="AT344" i="3" s="1"/>
  <c r="B344" i="3" s="1"/>
  <c r="AK344" i="3"/>
  <c r="AL344" i="3"/>
  <c r="AM344" i="3"/>
  <c r="AN344" i="3"/>
  <c r="AU344" i="3"/>
  <c r="AV344" i="3" s="1"/>
  <c r="AW344" i="3" s="1"/>
  <c r="AX344" i="3"/>
  <c r="AY344" i="3" s="1"/>
  <c r="BA344" i="3"/>
  <c r="AQ345" i="3"/>
  <c r="AO345" i="3"/>
  <c r="AP345" i="3" s="1"/>
  <c r="AR345" i="3" s="1"/>
  <c r="AK345" i="3"/>
  <c r="AL345" i="3"/>
  <c r="AM345" i="3"/>
  <c r="AN345" i="3"/>
  <c r="AU345" i="3"/>
  <c r="AV345" i="3"/>
  <c r="AW345" i="3"/>
  <c r="AX345" i="3"/>
  <c r="AY345" i="3" s="1"/>
  <c r="BA345" i="3"/>
  <c r="AQ346" i="3"/>
  <c r="AO346" i="3"/>
  <c r="AP346" i="3" s="1"/>
  <c r="AK346" i="3"/>
  <c r="AL346" i="3"/>
  <c r="AM346" i="3"/>
  <c r="AN346" i="3"/>
  <c r="AU346" i="3"/>
  <c r="AV346" i="3" s="1"/>
  <c r="AW346" i="3" s="1"/>
  <c r="AX346" i="3"/>
  <c r="AY346" i="3" s="1"/>
  <c r="BA346" i="3"/>
  <c r="AQ347" i="3"/>
  <c r="AO347" i="3"/>
  <c r="AP347" i="3" s="1"/>
  <c r="AK347" i="3"/>
  <c r="AL347" i="3"/>
  <c r="AM347" i="3"/>
  <c r="AN347" i="3"/>
  <c r="AU347" i="3"/>
  <c r="AV347" i="3"/>
  <c r="AW347" i="3" s="1"/>
  <c r="AX347" i="3"/>
  <c r="AY347" i="3" s="1"/>
  <c r="BA347" i="3"/>
  <c r="AQ348" i="3"/>
  <c r="AO348" i="3"/>
  <c r="AP348" i="3" s="1"/>
  <c r="AK348" i="3"/>
  <c r="AL348" i="3"/>
  <c r="AM348" i="3"/>
  <c r="AN348" i="3"/>
  <c r="AU348" i="3"/>
  <c r="AV348" i="3"/>
  <c r="AW348" i="3" s="1"/>
  <c r="AX348" i="3"/>
  <c r="AY348" i="3" s="1"/>
  <c r="BA348" i="3"/>
  <c r="AQ349" i="3"/>
  <c r="AO349" i="3"/>
  <c r="AP349" i="3" s="1"/>
  <c r="AK349" i="3"/>
  <c r="AL349" i="3"/>
  <c r="AM349" i="3"/>
  <c r="AN349" i="3"/>
  <c r="AU349" i="3"/>
  <c r="AV349" i="3"/>
  <c r="AW349" i="3"/>
  <c r="AX349" i="3"/>
  <c r="AY349" i="3" s="1"/>
  <c r="BA349" i="3"/>
  <c r="AQ350" i="3"/>
  <c r="AO350" i="3"/>
  <c r="AP350" i="3" s="1"/>
  <c r="AK350" i="3"/>
  <c r="AL350" i="3"/>
  <c r="AM350" i="3"/>
  <c r="AN350" i="3"/>
  <c r="AU350" i="3"/>
  <c r="AV350" i="3" s="1"/>
  <c r="AW350" i="3" s="1"/>
  <c r="BA350" i="3"/>
  <c r="AQ351" i="3"/>
  <c r="AO351" i="3"/>
  <c r="AP351" i="3" s="1"/>
  <c r="AK351" i="3"/>
  <c r="AL351" i="3"/>
  <c r="AM351" i="3"/>
  <c r="AN351" i="3"/>
  <c r="AU351" i="3"/>
  <c r="AV351" i="3" s="1"/>
  <c r="AW351" i="3" s="1"/>
  <c r="BA351" i="3"/>
  <c r="AQ352" i="3"/>
  <c r="AO352" i="3"/>
  <c r="AP352" i="3" s="1"/>
  <c r="AK352" i="3"/>
  <c r="AL352" i="3"/>
  <c r="AM352" i="3"/>
  <c r="AN352" i="3"/>
  <c r="AU352" i="3"/>
  <c r="AV352" i="3" s="1"/>
  <c r="AW352" i="3" s="1"/>
  <c r="BA352" i="3"/>
  <c r="AQ353" i="3"/>
  <c r="AO353" i="3"/>
  <c r="AP353" i="3" s="1"/>
  <c r="AK353" i="3"/>
  <c r="AL353" i="3"/>
  <c r="AM353" i="3"/>
  <c r="AN353" i="3"/>
  <c r="AU353" i="3"/>
  <c r="AV353" i="3" s="1"/>
  <c r="AW353" i="3" s="1"/>
  <c r="AX353" i="3"/>
  <c r="AY353" i="3" s="1"/>
  <c r="BA353" i="3"/>
  <c r="AQ354" i="3"/>
  <c r="AO354" i="3"/>
  <c r="AP354" i="3" s="1"/>
  <c r="AK354" i="3"/>
  <c r="AL354" i="3"/>
  <c r="AM354" i="3"/>
  <c r="AN354" i="3"/>
  <c r="AU354" i="3"/>
  <c r="AV354" i="3" s="1"/>
  <c r="AW354" i="3" s="1"/>
  <c r="BA354" i="3"/>
  <c r="AQ355" i="3"/>
  <c r="AO355" i="3"/>
  <c r="AP355" i="3" s="1"/>
  <c r="AK355" i="3"/>
  <c r="AL355" i="3"/>
  <c r="AM355" i="3"/>
  <c r="AN355" i="3"/>
  <c r="AU355" i="3"/>
  <c r="AV355" i="3" s="1"/>
  <c r="AW355" i="3" s="1"/>
  <c r="BA355" i="3"/>
  <c r="AQ356" i="3"/>
  <c r="AO356" i="3"/>
  <c r="AP356" i="3" s="1"/>
  <c r="AK356" i="3"/>
  <c r="AL356" i="3"/>
  <c r="AM356" i="3"/>
  <c r="AN356" i="3"/>
  <c r="AU356" i="3"/>
  <c r="AV356" i="3"/>
  <c r="AW356" i="3" s="1"/>
  <c r="AX356" i="3"/>
  <c r="AY356" i="3" s="1"/>
  <c r="BA356" i="3"/>
  <c r="AQ357" i="3"/>
  <c r="AO357" i="3"/>
  <c r="AP357" i="3" s="1"/>
  <c r="AK357" i="3"/>
  <c r="AL357" i="3"/>
  <c r="AM357" i="3"/>
  <c r="AN357" i="3"/>
  <c r="AU357" i="3"/>
  <c r="AV357" i="3" s="1"/>
  <c r="AW357" i="3" s="1"/>
  <c r="AX357" i="3"/>
  <c r="AY357" i="3" s="1"/>
  <c r="BA357" i="3"/>
  <c r="AQ358" i="3"/>
  <c r="AO358" i="3"/>
  <c r="AP358" i="3" s="1"/>
  <c r="AK358" i="3"/>
  <c r="AL358" i="3"/>
  <c r="AM358" i="3"/>
  <c r="AN358" i="3"/>
  <c r="AU358" i="3"/>
  <c r="AV358" i="3"/>
  <c r="AW358" i="3" s="1"/>
  <c r="AX358" i="3"/>
  <c r="AY358" i="3" s="1"/>
  <c r="BA358" i="3"/>
  <c r="AQ359" i="3"/>
  <c r="AO359" i="3"/>
  <c r="AP359" i="3" s="1"/>
  <c r="AK359" i="3"/>
  <c r="AL359" i="3"/>
  <c r="AM359" i="3"/>
  <c r="AN359" i="3"/>
  <c r="AU359" i="3"/>
  <c r="AV359" i="3" s="1"/>
  <c r="AW359" i="3" s="1"/>
  <c r="AX359" i="3"/>
  <c r="AY359" i="3" s="1"/>
  <c r="BA360" i="3"/>
  <c r="AQ361" i="3"/>
  <c r="AO361" i="3"/>
  <c r="AP361" i="3" s="1"/>
  <c r="AU361" i="3"/>
  <c r="AV361" i="3"/>
  <c r="AW361" i="3" s="1"/>
  <c r="AX361" i="3"/>
  <c r="AY361" i="3" s="1"/>
  <c r="BA361" i="3"/>
  <c r="AQ362" i="3"/>
  <c r="AO362" i="3"/>
  <c r="AP362" i="3" s="1"/>
  <c r="AU362" i="3"/>
  <c r="AV362" i="3" s="1"/>
  <c r="AW362" i="3" s="1"/>
  <c r="AX362" i="3"/>
  <c r="AY362" i="3" s="1"/>
  <c r="BA362" i="3"/>
  <c r="AQ363" i="3"/>
  <c r="AO363" i="3"/>
  <c r="AP363" i="3" s="1"/>
  <c r="AU363" i="3"/>
  <c r="AV363" i="3"/>
  <c r="AW363" i="3" s="1"/>
  <c r="AX363" i="3"/>
  <c r="AY363" i="3" s="1"/>
  <c r="BA363" i="3"/>
  <c r="AQ364" i="3"/>
  <c r="AO364" i="3"/>
  <c r="AP364" i="3" s="1"/>
  <c r="AU364" i="3"/>
  <c r="AV364" i="3" s="1"/>
  <c r="AW364" i="3" s="1"/>
  <c r="AX364" i="3"/>
  <c r="AY364" i="3" s="1"/>
  <c r="BA364" i="3"/>
  <c r="AQ365" i="3"/>
  <c r="AO365" i="3"/>
  <c r="AP365" i="3" s="1"/>
  <c r="AU365" i="3"/>
  <c r="AV365" i="3" s="1"/>
  <c r="AW365" i="3" s="1"/>
  <c r="AX365" i="3"/>
  <c r="AY365" i="3" s="1"/>
  <c r="BA365" i="3"/>
  <c r="AQ366" i="3"/>
  <c r="AO366" i="3"/>
  <c r="AP366" i="3" s="1"/>
  <c r="AU366" i="3"/>
  <c r="AV366" i="3" s="1"/>
  <c r="AW366" i="3" s="1"/>
  <c r="AX366" i="3"/>
  <c r="AY366" i="3" s="1"/>
  <c r="BA366" i="3"/>
  <c r="AQ367" i="3"/>
  <c r="AO367" i="3"/>
  <c r="AP367" i="3" s="1"/>
  <c r="AU367" i="3"/>
  <c r="AV367" i="3" s="1"/>
  <c r="AW367" i="3" s="1"/>
  <c r="AX367" i="3"/>
  <c r="AY367" i="3" s="1"/>
  <c r="BA367" i="3"/>
  <c r="AQ368" i="3"/>
  <c r="AO368" i="3"/>
  <c r="AP368" i="3" s="1"/>
  <c r="AR368" i="3" s="1"/>
  <c r="AU368" i="3"/>
  <c r="AV368" i="3" s="1"/>
  <c r="AW368" i="3" s="1"/>
  <c r="AX368" i="3"/>
  <c r="AY368" i="3" s="1"/>
  <c r="BA368" i="3"/>
  <c r="AQ369" i="3"/>
  <c r="AO369" i="3"/>
  <c r="AP369" i="3" s="1"/>
  <c r="AU369" i="3"/>
  <c r="AV369" i="3" s="1"/>
  <c r="AW369" i="3" s="1"/>
  <c r="AX369" i="3"/>
  <c r="AY369" i="3" s="1"/>
  <c r="BA369" i="3"/>
  <c r="AQ370" i="3"/>
  <c r="AO370" i="3"/>
  <c r="AP370" i="3" s="1"/>
  <c r="AU370" i="3"/>
  <c r="AV370" i="3" s="1"/>
  <c r="AW370" i="3" s="1"/>
  <c r="AX370" i="3"/>
  <c r="AY370" i="3" s="1"/>
  <c r="AZ370" i="3" s="1"/>
  <c r="BA370" i="3"/>
  <c r="AQ371" i="3"/>
  <c r="AO371" i="3"/>
  <c r="AP371" i="3" s="1"/>
  <c r="AU371" i="3"/>
  <c r="AV371" i="3"/>
  <c r="AW371" i="3" s="1"/>
  <c r="AX371" i="3"/>
  <c r="AY371" i="3" s="1"/>
  <c r="BA371" i="3"/>
  <c r="AQ372" i="3"/>
  <c r="AO372" i="3"/>
  <c r="AP372" i="3" s="1"/>
  <c r="AU372" i="3"/>
  <c r="AV372" i="3" s="1"/>
  <c r="AW372" i="3" s="1"/>
  <c r="AX372" i="3"/>
  <c r="AY372" i="3" s="1"/>
  <c r="BA372" i="3"/>
  <c r="AQ373" i="3"/>
  <c r="AO373" i="3"/>
  <c r="AP373" i="3" s="1"/>
  <c r="AU373" i="3"/>
  <c r="AV373" i="3"/>
  <c r="AW373" i="3" s="1"/>
  <c r="AX373" i="3"/>
  <c r="AY373" i="3" s="1"/>
  <c r="BA373" i="3"/>
  <c r="AQ374" i="3"/>
  <c r="AO374" i="3"/>
  <c r="AP374" i="3" s="1"/>
  <c r="AU374" i="3"/>
  <c r="AV374" i="3" s="1"/>
  <c r="AW374" i="3" s="1"/>
  <c r="AX374" i="3"/>
  <c r="AY374" i="3" s="1"/>
  <c r="BA374" i="3"/>
  <c r="AQ375" i="3"/>
  <c r="AO375" i="3"/>
  <c r="AP375" i="3" s="1"/>
  <c r="AU375" i="3"/>
  <c r="AV375" i="3" s="1"/>
  <c r="AW375" i="3" s="1"/>
  <c r="AX375" i="3"/>
  <c r="AY375" i="3" s="1"/>
  <c r="BA375" i="3"/>
  <c r="AQ376" i="3"/>
  <c r="AO376" i="3"/>
  <c r="AP376" i="3" s="1"/>
  <c r="AU376" i="3"/>
  <c r="AV376" i="3"/>
  <c r="AW376" i="3" s="1"/>
  <c r="AX376" i="3"/>
  <c r="AY376" i="3" s="1"/>
  <c r="BA376" i="3"/>
  <c r="AQ377" i="3"/>
  <c r="AO377" i="3"/>
  <c r="AP377" i="3" s="1"/>
  <c r="AU377" i="3"/>
  <c r="AV377" i="3" s="1"/>
  <c r="AW377" i="3" s="1"/>
  <c r="AX377" i="3"/>
  <c r="AY377" i="3" s="1"/>
  <c r="BA377" i="3"/>
  <c r="AQ378" i="3"/>
  <c r="AO378" i="3"/>
  <c r="AP378" i="3" s="1"/>
  <c r="AU378" i="3"/>
  <c r="AV378" i="3" s="1"/>
  <c r="AW378" i="3" s="1"/>
  <c r="AX378" i="3"/>
  <c r="AY378" i="3" s="1"/>
  <c r="BA378" i="3"/>
  <c r="AQ379" i="3"/>
  <c r="AO379" i="3"/>
  <c r="AP379" i="3" s="1"/>
  <c r="AU379" i="3"/>
  <c r="AV379" i="3" s="1"/>
  <c r="AW379" i="3" s="1"/>
  <c r="AZ379" i="3" s="1"/>
  <c r="AX379" i="3"/>
  <c r="AY379" i="3" s="1"/>
  <c r="BA379" i="3"/>
  <c r="AQ380" i="3"/>
  <c r="AO380" i="3"/>
  <c r="AP380" i="3" s="1"/>
  <c r="AU380" i="3"/>
  <c r="AV380" i="3"/>
  <c r="AW380" i="3" s="1"/>
  <c r="AX380" i="3"/>
  <c r="AY380" i="3" s="1"/>
  <c r="BA380" i="3"/>
  <c r="AQ381" i="3"/>
  <c r="AO381" i="3"/>
  <c r="AP381" i="3" s="1"/>
  <c r="AU381" i="3"/>
  <c r="AV381" i="3" s="1"/>
  <c r="AW381" i="3" s="1"/>
  <c r="AX381" i="3"/>
  <c r="AY381" i="3" s="1"/>
  <c r="BA381" i="3"/>
  <c r="AQ382" i="3"/>
  <c r="AO382" i="3"/>
  <c r="AP382" i="3" s="1"/>
  <c r="AU382" i="3"/>
  <c r="AV382" i="3" s="1"/>
  <c r="AW382" i="3"/>
  <c r="AX382" i="3"/>
  <c r="AY382" i="3" s="1"/>
  <c r="BA382" i="3"/>
  <c r="AQ383" i="3"/>
  <c r="AO383" i="3"/>
  <c r="AP383" i="3" s="1"/>
  <c r="AU383" i="3"/>
  <c r="AV383" i="3"/>
  <c r="AW383" i="3" s="1"/>
  <c r="AX383" i="3"/>
  <c r="AY383" i="3"/>
  <c r="BA383" i="3"/>
  <c r="AQ384" i="3"/>
  <c r="AO384" i="3"/>
  <c r="AP384" i="3" s="1"/>
  <c r="AU384" i="3"/>
  <c r="AV384" i="3" s="1"/>
  <c r="AW384" i="3" s="1"/>
  <c r="AX384" i="3"/>
  <c r="AY384" i="3" s="1"/>
  <c r="BA385" i="3"/>
  <c r="AQ386" i="3"/>
  <c r="AO386" i="3"/>
  <c r="AP386" i="3" s="1"/>
  <c r="AK386" i="3"/>
  <c r="AL386" i="3"/>
  <c r="AM386" i="3"/>
  <c r="AN386" i="3"/>
  <c r="AU386" i="3"/>
  <c r="AV386" i="3" s="1"/>
  <c r="AW386" i="3" s="1"/>
  <c r="AX386" i="3"/>
  <c r="AY386" i="3" s="1"/>
  <c r="BA386" i="3"/>
  <c r="AQ387" i="3"/>
  <c r="AO387" i="3"/>
  <c r="AP387" i="3" s="1"/>
  <c r="AK387" i="3"/>
  <c r="AL387" i="3"/>
  <c r="AM387" i="3"/>
  <c r="AN387" i="3"/>
  <c r="AU387" i="3"/>
  <c r="AV387" i="3" s="1"/>
  <c r="AW387" i="3" s="1"/>
  <c r="AX387" i="3"/>
  <c r="AY387" i="3" s="1"/>
  <c r="AZ387" i="3" s="1"/>
  <c r="BA387" i="3"/>
  <c r="AQ388" i="3"/>
  <c r="AO388" i="3"/>
  <c r="AP388" i="3" s="1"/>
  <c r="AK388" i="3"/>
  <c r="AL388" i="3"/>
  <c r="AM388" i="3"/>
  <c r="AN388" i="3"/>
  <c r="AU388" i="3"/>
  <c r="AV388" i="3" s="1"/>
  <c r="AW388" i="3" s="1"/>
  <c r="AX388" i="3"/>
  <c r="AY388" i="3" s="1"/>
  <c r="BA388" i="3"/>
  <c r="AQ389" i="3"/>
  <c r="AO389" i="3"/>
  <c r="AP389" i="3" s="1"/>
  <c r="AK389" i="3"/>
  <c r="AL389" i="3"/>
  <c r="AM389" i="3"/>
  <c r="AN389" i="3"/>
  <c r="AU389" i="3"/>
  <c r="AV389" i="3"/>
  <c r="AW389" i="3" s="1"/>
  <c r="AX389" i="3"/>
  <c r="AY389" i="3" s="1"/>
  <c r="BA389" i="3"/>
  <c r="AQ390" i="3"/>
  <c r="AO390" i="3"/>
  <c r="AP390" i="3" s="1"/>
  <c r="AK390" i="3"/>
  <c r="AL390" i="3"/>
  <c r="AM390" i="3"/>
  <c r="AN390" i="3"/>
  <c r="AU390" i="3"/>
  <c r="AV390" i="3"/>
  <c r="AW390" i="3" s="1"/>
  <c r="AX390" i="3"/>
  <c r="AY390" i="3" s="1"/>
  <c r="BA390" i="3"/>
  <c r="AQ391" i="3"/>
  <c r="AO391" i="3"/>
  <c r="AP391" i="3" s="1"/>
  <c r="AR391" i="3" s="1"/>
  <c r="AS391" i="3" s="1"/>
  <c r="AT391" i="3" s="1"/>
  <c r="B391" i="3" s="1"/>
  <c r="AK391" i="3"/>
  <c r="AL391" i="3"/>
  <c r="AM391" i="3"/>
  <c r="AN391" i="3"/>
  <c r="AU391" i="3"/>
  <c r="AV391" i="3"/>
  <c r="AW391" i="3" s="1"/>
  <c r="AX391" i="3"/>
  <c r="AY391" i="3" s="1"/>
  <c r="BA391" i="3"/>
  <c r="AQ392" i="3"/>
  <c r="AO392" i="3"/>
  <c r="AP392" i="3" s="1"/>
  <c r="AK392" i="3"/>
  <c r="AL392" i="3"/>
  <c r="AM392" i="3"/>
  <c r="AN392" i="3"/>
  <c r="AU392" i="3"/>
  <c r="AV392" i="3" s="1"/>
  <c r="AW392" i="3" s="1"/>
  <c r="AX392" i="3"/>
  <c r="AY392" i="3" s="1"/>
  <c r="BA392" i="3"/>
  <c r="AQ393" i="3"/>
  <c r="AO393" i="3"/>
  <c r="AP393" i="3" s="1"/>
  <c r="AK393" i="3"/>
  <c r="AL393" i="3"/>
  <c r="AM393" i="3"/>
  <c r="AN393" i="3"/>
  <c r="BA393" i="3"/>
  <c r="AQ394" i="3"/>
  <c r="AO394" i="3"/>
  <c r="AP394" i="3" s="1"/>
  <c r="AR394" i="3" s="1"/>
  <c r="AS394" i="3" s="1"/>
  <c r="AT394" i="3" s="1"/>
  <c r="B394" i="3" s="1"/>
  <c r="AK394" i="3"/>
  <c r="AL394" i="3"/>
  <c r="AM394" i="3"/>
  <c r="AN394" i="3"/>
  <c r="AU394" i="3"/>
  <c r="AV394" i="3"/>
  <c r="AW394" i="3" s="1"/>
  <c r="AX394" i="3"/>
  <c r="AY394" i="3" s="1"/>
  <c r="BA394" i="3"/>
  <c r="AQ395" i="3"/>
  <c r="AO395" i="3"/>
  <c r="AP395" i="3" s="1"/>
  <c r="AK395" i="3"/>
  <c r="AL395" i="3"/>
  <c r="AM395" i="3"/>
  <c r="AN395" i="3"/>
  <c r="AU395" i="3"/>
  <c r="AV395" i="3" s="1"/>
  <c r="AW395" i="3" s="1"/>
  <c r="AX395" i="3"/>
  <c r="AY395" i="3" s="1"/>
  <c r="BA395" i="3"/>
  <c r="AQ396" i="3"/>
  <c r="AO396" i="3"/>
  <c r="AP396" i="3" s="1"/>
  <c r="AK396" i="3"/>
  <c r="AL396" i="3"/>
  <c r="AM396" i="3"/>
  <c r="AN396" i="3"/>
  <c r="AU396" i="3"/>
  <c r="AV396" i="3" s="1"/>
  <c r="AW396" i="3" s="1"/>
  <c r="AX396" i="3"/>
  <c r="AY396" i="3" s="1"/>
  <c r="BA396" i="3"/>
  <c r="AQ397" i="3"/>
  <c r="AO397" i="3"/>
  <c r="AP397" i="3" s="1"/>
  <c r="AK397" i="3"/>
  <c r="AL397" i="3"/>
  <c r="AM397" i="3"/>
  <c r="AN397" i="3"/>
  <c r="BA397" i="3"/>
  <c r="AQ398" i="3"/>
  <c r="AO398" i="3"/>
  <c r="AP398" i="3" s="1"/>
  <c r="AK398" i="3"/>
  <c r="AL398" i="3"/>
  <c r="AM398" i="3"/>
  <c r="AN398" i="3"/>
  <c r="AU398" i="3"/>
  <c r="AV398" i="3"/>
  <c r="AW398" i="3" s="1"/>
  <c r="AX398" i="3"/>
  <c r="AY398" i="3" s="1"/>
  <c r="BA398" i="3"/>
  <c r="AQ399" i="3"/>
  <c r="AO399" i="3"/>
  <c r="AP399" i="3" s="1"/>
  <c r="AK399" i="3"/>
  <c r="AL399" i="3"/>
  <c r="AM399" i="3"/>
  <c r="AN399" i="3"/>
  <c r="AU399" i="3"/>
  <c r="AV399" i="3" s="1"/>
  <c r="AW399" i="3" s="1"/>
  <c r="AX399" i="3"/>
  <c r="AY399" i="3" s="1"/>
  <c r="BA399" i="3"/>
  <c r="AQ400" i="3"/>
  <c r="AO400" i="3"/>
  <c r="AP400" i="3" s="1"/>
  <c r="AK400" i="3"/>
  <c r="AL400" i="3"/>
  <c r="AM400" i="3"/>
  <c r="AN400" i="3"/>
  <c r="AU400" i="3"/>
  <c r="AV400" i="3"/>
  <c r="AW400" i="3" s="1"/>
  <c r="AX400" i="3"/>
  <c r="AY400" i="3" s="1"/>
  <c r="BA400" i="3"/>
  <c r="AQ401" i="3"/>
  <c r="AO401" i="3"/>
  <c r="AP401" i="3" s="1"/>
  <c r="AK401" i="3"/>
  <c r="AL401" i="3"/>
  <c r="AM401" i="3"/>
  <c r="AN401" i="3"/>
  <c r="AU401" i="3"/>
  <c r="AV401" i="3" s="1"/>
  <c r="AW401" i="3" s="1"/>
  <c r="AX401" i="3"/>
  <c r="AY401" i="3" s="1"/>
  <c r="BA401" i="3"/>
  <c r="AQ402" i="3"/>
  <c r="AO402" i="3"/>
  <c r="AP402" i="3" s="1"/>
  <c r="AK402" i="3"/>
  <c r="AL402" i="3"/>
  <c r="AM402" i="3"/>
  <c r="AN402" i="3"/>
  <c r="AU402" i="3"/>
  <c r="AV402" i="3"/>
  <c r="AW402" i="3" s="1"/>
  <c r="AX402" i="3"/>
  <c r="AY402" i="3" s="1"/>
  <c r="BA402" i="3"/>
  <c r="AQ403" i="3"/>
  <c r="AO403" i="3"/>
  <c r="AP403" i="3" s="1"/>
  <c r="AK403" i="3"/>
  <c r="AL403" i="3"/>
  <c r="AM403" i="3"/>
  <c r="AN403" i="3"/>
  <c r="AU403" i="3"/>
  <c r="AV403" i="3" s="1"/>
  <c r="AW403" i="3" s="1"/>
  <c r="AX403" i="3"/>
  <c r="AY403" i="3" s="1"/>
  <c r="BA403" i="3"/>
  <c r="AQ404" i="3"/>
  <c r="AO404" i="3"/>
  <c r="AP404" i="3" s="1"/>
  <c r="AK404" i="3"/>
  <c r="AL404" i="3"/>
  <c r="AM404" i="3"/>
  <c r="AN404" i="3"/>
  <c r="AU404" i="3"/>
  <c r="AV404" i="3"/>
  <c r="AW404" i="3" s="1"/>
  <c r="AX404" i="3"/>
  <c r="AY404" i="3" s="1"/>
  <c r="BA404" i="3"/>
  <c r="AQ405" i="3"/>
  <c r="AO405" i="3"/>
  <c r="AP405" i="3" s="1"/>
  <c r="AR405" i="3" s="1"/>
  <c r="AS405" i="3" s="1"/>
  <c r="AT405" i="3" s="1"/>
  <c r="B405" i="3" s="1"/>
  <c r="AK405" i="3"/>
  <c r="AL405" i="3"/>
  <c r="AM405" i="3"/>
  <c r="AN405" i="3"/>
  <c r="AU405" i="3"/>
  <c r="AV405" i="3" s="1"/>
  <c r="AW405" i="3" s="1"/>
  <c r="AX405" i="3"/>
  <c r="AY405" i="3" s="1"/>
  <c r="BA405" i="3"/>
  <c r="AQ406" i="3"/>
  <c r="AO406" i="3"/>
  <c r="AP406" i="3" s="1"/>
  <c r="AR406" i="3" s="1"/>
  <c r="AS406" i="3" s="1"/>
  <c r="AT406" i="3" s="1"/>
  <c r="B406" i="3" s="1"/>
  <c r="AK406" i="3"/>
  <c r="AL406" i="3"/>
  <c r="AM406" i="3"/>
  <c r="AN406" i="3"/>
  <c r="AU406" i="3"/>
  <c r="AV406" i="3"/>
  <c r="AW406" i="3" s="1"/>
  <c r="AX406" i="3"/>
  <c r="AY406" i="3" s="1"/>
  <c r="BA406" i="3"/>
  <c r="AQ407" i="3"/>
  <c r="AO407" i="3"/>
  <c r="AP407" i="3" s="1"/>
  <c r="AK407" i="3"/>
  <c r="AL407" i="3"/>
  <c r="AM407" i="3"/>
  <c r="AN407" i="3"/>
  <c r="AU407" i="3"/>
  <c r="AV407" i="3" s="1"/>
  <c r="AW407" i="3" s="1"/>
  <c r="BA407" i="3"/>
  <c r="AQ408" i="3"/>
  <c r="AO408" i="3"/>
  <c r="AP408" i="3" s="1"/>
  <c r="AK408" i="3"/>
  <c r="AL408" i="3"/>
  <c r="AM408" i="3"/>
  <c r="AN408" i="3"/>
  <c r="AU408" i="3"/>
  <c r="AV408" i="3" s="1"/>
  <c r="AW408" i="3" s="1"/>
  <c r="AX408" i="3"/>
  <c r="AY408" i="3" s="1"/>
  <c r="BA408" i="3"/>
  <c r="AQ409" i="3"/>
  <c r="AO409" i="3"/>
  <c r="AP409" i="3" s="1"/>
  <c r="AK409" i="3"/>
  <c r="AL409" i="3"/>
  <c r="AM409" i="3"/>
  <c r="AN409" i="3"/>
  <c r="AU409" i="3"/>
  <c r="AV409" i="3" s="1"/>
  <c r="AW409" i="3" s="1"/>
  <c r="AX409" i="3"/>
  <c r="AY409" i="3" s="1"/>
  <c r="BA410" i="3"/>
  <c r="AQ411" i="3"/>
  <c r="AO411" i="3"/>
  <c r="AP411" i="3" s="1"/>
  <c r="AK411" i="3"/>
  <c r="AL411" i="3"/>
  <c r="AM411" i="3"/>
  <c r="AN411" i="3"/>
  <c r="AU411" i="3"/>
  <c r="AV411" i="3"/>
  <c r="AW411" i="3" s="1"/>
  <c r="AX411" i="3"/>
  <c r="AY411" i="3" s="1"/>
  <c r="BA411" i="3"/>
  <c r="AQ412" i="3"/>
  <c r="AO412" i="3"/>
  <c r="AP412" i="3" s="1"/>
  <c r="AK412" i="3"/>
  <c r="AL412" i="3"/>
  <c r="AM412" i="3"/>
  <c r="AN412" i="3"/>
  <c r="AU412" i="3"/>
  <c r="AV412" i="3" s="1"/>
  <c r="AW412" i="3" s="1"/>
  <c r="AX412" i="3"/>
  <c r="AY412" i="3" s="1"/>
  <c r="BA412" i="3"/>
  <c r="AQ413" i="3"/>
  <c r="AO413" i="3"/>
  <c r="AP413" i="3" s="1"/>
  <c r="AK413" i="3"/>
  <c r="AL413" i="3"/>
  <c r="AM413" i="3"/>
  <c r="AN413" i="3"/>
  <c r="AU413" i="3"/>
  <c r="AV413" i="3" s="1"/>
  <c r="AW413" i="3" s="1"/>
  <c r="AX413" i="3"/>
  <c r="AY413" i="3" s="1"/>
  <c r="BA413" i="3"/>
  <c r="AQ414" i="3"/>
  <c r="AO414" i="3"/>
  <c r="AP414" i="3"/>
  <c r="AK414" i="3"/>
  <c r="AL414" i="3"/>
  <c r="AM414" i="3"/>
  <c r="AN414" i="3"/>
  <c r="AU414" i="3"/>
  <c r="AV414" i="3" s="1"/>
  <c r="AW414" i="3" s="1"/>
  <c r="AX414" i="3"/>
  <c r="AY414" i="3" s="1"/>
  <c r="BA414" i="3"/>
  <c r="AQ415" i="3"/>
  <c r="AO415" i="3"/>
  <c r="AP415" i="3" s="1"/>
  <c r="AK415" i="3"/>
  <c r="AL415" i="3"/>
  <c r="AM415" i="3"/>
  <c r="AN415" i="3"/>
  <c r="AU415" i="3"/>
  <c r="AV415" i="3"/>
  <c r="AW415" i="3"/>
  <c r="AX415" i="3"/>
  <c r="AY415" i="3" s="1"/>
  <c r="BA415" i="3"/>
  <c r="AQ416" i="3"/>
  <c r="AO416" i="3"/>
  <c r="AP416" i="3" s="1"/>
  <c r="AR416" i="3" s="1"/>
  <c r="AS416" i="3" s="1"/>
  <c r="AT416" i="3" s="1"/>
  <c r="B416" i="3" s="1"/>
  <c r="AK416" i="3"/>
  <c r="AL416" i="3"/>
  <c r="AM416" i="3"/>
  <c r="AN416" i="3"/>
  <c r="AU416" i="3"/>
  <c r="AV416" i="3" s="1"/>
  <c r="AW416" i="3" s="1"/>
  <c r="AX416" i="3"/>
  <c r="AY416" i="3" s="1"/>
  <c r="BA416" i="3"/>
  <c r="AQ417" i="3"/>
  <c r="AO417" i="3"/>
  <c r="AP417" i="3" s="1"/>
  <c r="AK417" i="3"/>
  <c r="AL417" i="3"/>
  <c r="AM417" i="3"/>
  <c r="AN417" i="3"/>
  <c r="AU417" i="3"/>
  <c r="AV417" i="3" s="1"/>
  <c r="AW417" i="3" s="1"/>
  <c r="AX417" i="3"/>
  <c r="AY417" i="3" s="1"/>
  <c r="BA417" i="3"/>
  <c r="AQ418" i="3"/>
  <c r="AO418" i="3"/>
  <c r="AP418" i="3" s="1"/>
  <c r="AK418" i="3"/>
  <c r="AL418" i="3"/>
  <c r="AM418" i="3"/>
  <c r="AN418" i="3"/>
  <c r="AU418" i="3"/>
  <c r="AV418" i="3" s="1"/>
  <c r="AW418" i="3" s="1"/>
  <c r="AX418" i="3"/>
  <c r="AY418" i="3" s="1"/>
  <c r="BA418" i="3"/>
  <c r="AQ419" i="3"/>
  <c r="AO419" i="3"/>
  <c r="AP419" i="3" s="1"/>
  <c r="AK419" i="3"/>
  <c r="AL419" i="3"/>
  <c r="AM419" i="3"/>
  <c r="AN419" i="3"/>
  <c r="AU419" i="3"/>
  <c r="AV419" i="3"/>
  <c r="AW419" i="3" s="1"/>
  <c r="AX419" i="3"/>
  <c r="AY419" i="3" s="1"/>
  <c r="BA419" i="3"/>
  <c r="AQ420" i="3"/>
  <c r="AO420" i="3"/>
  <c r="AP420" i="3" s="1"/>
  <c r="AK420" i="3"/>
  <c r="AL420" i="3"/>
  <c r="AM420" i="3"/>
  <c r="AN420" i="3"/>
  <c r="AU420" i="3"/>
  <c r="AV420" i="3" s="1"/>
  <c r="AW420" i="3" s="1"/>
  <c r="AX420" i="3"/>
  <c r="AY420" i="3" s="1"/>
  <c r="AZ420" i="3" s="1"/>
  <c r="BA420" i="3"/>
  <c r="AQ421" i="3"/>
  <c r="AO421" i="3"/>
  <c r="AP421" i="3" s="1"/>
  <c r="AK421" i="3"/>
  <c r="AL421" i="3"/>
  <c r="AM421" i="3"/>
  <c r="AN421" i="3"/>
  <c r="AU421" i="3"/>
  <c r="AV421" i="3" s="1"/>
  <c r="AW421" i="3" s="1"/>
  <c r="AX421" i="3"/>
  <c r="AY421" i="3" s="1"/>
  <c r="BA421" i="3"/>
  <c r="AQ422" i="3"/>
  <c r="AO422" i="3"/>
  <c r="AP422" i="3" s="1"/>
  <c r="AK422" i="3"/>
  <c r="AL422" i="3"/>
  <c r="AM422" i="3"/>
  <c r="AN422" i="3"/>
  <c r="AU422" i="3"/>
  <c r="AV422" i="3" s="1"/>
  <c r="AW422" i="3" s="1"/>
  <c r="AX422" i="3"/>
  <c r="AY422" i="3" s="1"/>
  <c r="BA422" i="3"/>
  <c r="AQ423" i="3"/>
  <c r="AO423" i="3"/>
  <c r="AP423" i="3" s="1"/>
  <c r="AK423" i="3"/>
  <c r="AL423" i="3"/>
  <c r="AM423" i="3"/>
  <c r="AN423" i="3"/>
  <c r="AU423" i="3"/>
  <c r="AV423" i="3"/>
  <c r="AW423" i="3" s="1"/>
  <c r="AX423" i="3"/>
  <c r="AY423" i="3" s="1"/>
  <c r="BA423" i="3"/>
  <c r="AQ424" i="3"/>
  <c r="AO424" i="3"/>
  <c r="AP424" i="3" s="1"/>
  <c r="AK424" i="3"/>
  <c r="AL424" i="3"/>
  <c r="AM424" i="3"/>
  <c r="AN424" i="3"/>
  <c r="AU424" i="3"/>
  <c r="AV424" i="3"/>
  <c r="AW424" i="3" s="1"/>
  <c r="AX424" i="3"/>
  <c r="AY424" i="3" s="1"/>
  <c r="BA424" i="3"/>
  <c r="AQ425" i="3"/>
  <c r="AO425" i="3"/>
  <c r="AP425" i="3" s="1"/>
  <c r="AK425" i="3"/>
  <c r="AL425" i="3"/>
  <c r="AM425" i="3"/>
  <c r="AN425" i="3"/>
  <c r="AU425" i="3"/>
  <c r="AV425" i="3"/>
  <c r="AW425" i="3" s="1"/>
  <c r="AX425" i="3"/>
  <c r="AY425" i="3" s="1"/>
  <c r="BA425" i="3"/>
  <c r="AQ426" i="3"/>
  <c r="AO426" i="3"/>
  <c r="AP426" i="3" s="1"/>
  <c r="AK426" i="3"/>
  <c r="AL426" i="3"/>
  <c r="AM426" i="3"/>
  <c r="AN426" i="3"/>
  <c r="AU426" i="3"/>
  <c r="AV426" i="3" s="1"/>
  <c r="AW426" i="3" s="1"/>
  <c r="AX426" i="3"/>
  <c r="AY426" i="3" s="1"/>
  <c r="BA426" i="3"/>
  <c r="AQ427" i="3"/>
  <c r="AO427" i="3"/>
  <c r="AP427" i="3" s="1"/>
  <c r="AK427" i="3"/>
  <c r="AL427" i="3"/>
  <c r="AM427" i="3"/>
  <c r="AN427" i="3"/>
  <c r="AU427" i="3"/>
  <c r="AV427" i="3"/>
  <c r="AW427" i="3" s="1"/>
  <c r="AX427" i="3"/>
  <c r="AY427" i="3" s="1"/>
  <c r="BA427" i="3"/>
  <c r="AQ428" i="3"/>
  <c r="AO428" i="3"/>
  <c r="AP428" i="3" s="1"/>
  <c r="AK428" i="3"/>
  <c r="AL428" i="3"/>
  <c r="AM428" i="3"/>
  <c r="AN428" i="3"/>
  <c r="AU428" i="3"/>
  <c r="AV428" i="3" s="1"/>
  <c r="AW428" i="3" s="1"/>
  <c r="AX428" i="3"/>
  <c r="AY428" i="3" s="1"/>
  <c r="BA428" i="3"/>
  <c r="AQ429" i="3"/>
  <c r="AO429" i="3"/>
  <c r="AP429" i="3" s="1"/>
  <c r="AK429" i="3"/>
  <c r="AL429" i="3"/>
  <c r="AM429" i="3"/>
  <c r="AN429" i="3"/>
  <c r="AU429" i="3"/>
  <c r="AV429" i="3" s="1"/>
  <c r="AW429" i="3" s="1"/>
  <c r="AX429" i="3"/>
  <c r="AY429" i="3" s="1"/>
  <c r="BA429" i="3"/>
  <c r="AQ430" i="3"/>
  <c r="AO430" i="3"/>
  <c r="AP430" i="3" s="1"/>
  <c r="AR430" i="3" s="1"/>
  <c r="AK430" i="3"/>
  <c r="AL430" i="3"/>
  <c r="AM430" i="3"/>
  <c r="AN430" i="3"/>
  <c r="AU430" i="3"/>
  <c r="AV430" i="3" s="1"/>
  <c r="AW430" i="3" s="1"/>
  <c r="AX430" i="3"/>
  <c r="AY430" i="3" s="1"/>
  <c r="BA430" i="3"/>
  <c r="AQ431" i="3"/>
  <c r="AO431" i="3"/>
  <c r="AP431" i="3" s="1"/>
  <c r="AK431" i="3"/>
  <c r="AL431" i="3"/>
  <c r="AM431" i="3"/>
  <c r="AN431" i="3"/>
  <c r="AU431" i="3"/>
  <c r="AV431" i="3"/>
  <c r="AW431" i="3"/>
  <c r="AX431" i="3"/>
  <c r="AY431" i="3" s="1"/>
  <c r="BA431" i="3"/>
  <c r="AQ432" i="3"/>
  <c r="AO432" i="3"/>
  <c r="AP432" i="3" s="1"/>
  <c r="AK432" i="3"/>
  <c r="AL432" i="3"/>
  <c r="AM432" i="3"/>
  <c r="AN432" i="3"/>
  <c r="AU432" i="3"/>
  <c r="AV432" i="3" s="1"/>
  <c r="AW432" i="3" s="1"/>
  <c r="AX432" i="3"/>
  <c r="AY432" i="3" s="1"/>
  <c r="BA432" i="3"/>
  <c r="AQ433" i="3"/>
  <c r="AO433" i="3"/>
  <c r="AP433" i="3" s="1"/>
  <c r="AK433" i="3"/>
  <c r="AL433" i="3"/>
  <c r="AM433" i="3"/>
  <c r="AN433" i="3"/>
  <c r="AU433" i="3"/>
  <c r="AV433" i="3" s="1"/>
  <c r="AW433" i="3" s="1"/>
  <c r="AX433" i="3"/>
  <c r="AY433" i="3" s="1"/>
  <c r="BA433" i="3"/>
  <c r="AQ434" i="3"/>
  <c r="AO434" i="3"/>
  <c r="AP434" i="3"/>
  <c r="AR434" i="3" s="1"/>
  <c r="AK434" i="3"/>
  <c r="AL434" i="3"/>
  <c r="AM434" i="3"/>
  <c r="AN434" i="3"/>
  <c r="AU434" i="3"/>
  <c r="AV434" i="3"/>
  <c r="AW434" i="3" s="1"/>
  <c r="AX434" i="3"/>
  <c r="AY434" i="3" s="1"/>
  <c r="AZ434" i="3" s="1"/>
  <c r="BA435" i="3"/>
  <c r="AQ436" i="3"/>
  <c r="AO436" i="3"/>
  <c r="AP436" i="3" s="1"/>
  <c r="AK436" i="3"/>
  <c r="BA436" i="3"/>
  <c r="AQ437" i="3"/>
  <c r="AO437" i="3"/>
  <c r="AP437" i="3" s="1"/>
  <c r="AK437" i="3"/>
  <c r="BA437" i="3"/>
  <c r="AQ438" i="3"/>
  <c r="AO438" i="3"/>
  <c r="AP438" i="3" s="1"/>
  <c r="AK438" i="3"/>
  <c r="BA438" i="3"/>
  <c r="AQ439" i="3"/>
  <c r="AO439" i="3"/>
  <c r="AP439" i="3" s="1"/>
  <c r="AK439" i="3"/>
  <c r="BA439" i="3"/>
  <c r="AQ440" i="3"/>
  <c r="AO440" i="3"/>
  <c r="AP440" i="3" s="1"/>
  <c r="AK440" i="3"/>
  <c r="BA440" i="3"/>
  <c r="AQ441" i="3"/>
  <c r="AO441" i="3"/>
  <c r="AP441" i="3" s="1"/>
  <c r="AK441" i="3"/>
  <c r="BA441" i="3"/>
  <c r="AQ442" i="3"/>
  <c r="AO442" i="3"/>
  <c r="AP442" i="3" s="1"/>
  <c r="AK442" i="3"/>
  <c r="BA442" i="3"/>
  <c r="AQ443" i="3"/>
  <c r="AO443" i="3"/>
  <c r="AP443" i="3" s="1"/>
  <c r="AK443" i="3"/>
  <c r="BA443" i="3"/>
  <c r="AQ444" i="3"/>
  <c r="AO444" i="3"/>
  <c r="AP444" i="3" s="1"/>
  <c r="AK444" i="3"/>
  <c r="BA444" i="3"/>
  <c r="AQ445" i="3"/>
  <c r="AO445" i="3"/>
  <c r="AP445" i="3" s="1"/>
  <c r="AR445" i="3" s="1"/>
  <c r="AK445" i="3"/>
  <c r="BA445" i="3"/>
  <c r="AQ446" i="3"/>
  <c r="AO446" i="3"/>
  <c r="AP446" i="3" s="1"/>
  <c r="AK446" i="3"/>
  <c r="BA446" i="3"/>
  <c r="AQ447" i="3"/>
  <c r="AO447" i="3"/>
  <c r="AP447" i="3"/>
  <c r="AK447" i="3"/>
  <c r="BA447" i="3"/>
  <c r="AQ448" i="3"/>
  <c r="AO448" i="3"/>
  <c r="AP448" i="3" s="1"/>
  <c r="AK448" i="3"/>
  <c r="BA448" i="3"/>
  <c r="AQ449" i="3"/>
  <c r="AO449" i="3"/>
  <c r="AP449" i="3" s="1"/>
  <c r="AK449" i="3"/>
  <c r="BA449" i="3"/>
  <c r="AQ450" i="3"/>
  <c r="AO450" i="3"/>
  <c r="AP450" i="3" s="1"/>
  <c r="AK450" i="3"/>
  <c r="BA450" i="3"/>
  <c r="AQ451" i="3"/>
  <c r="AO451" i="3"/>
  <c r="AP451" i="3" s="1"/>
  <c r="AK451" i="3"/>
  <c r="BA451" i="3"/>
  <c r="AQ452" i="3"/>
  <c r="AO452" i="3"/>
  <c r="AP452" i="3"/>
  <c r="AK452" i="3"/>
  <c r="BA452" i="3"/>
  <c r="AQ453" i="3"/>
  <c r="AO453" i="3"/>
  <c r="AP453" i="3" s="1"/>
  <c r="AR453" i="3" s="1"/>
  <c r="AK453" i="3"/>
  <c r="BA453" i="3"/>
  <c r="AQ454" i="3"/>
  <c r="AO454" i="3"/>
  <c r="AP454" i="3" s="1"/>
  <c r="AK454" i="3"/>
  <c r="BA454" i="3"/>
  <c r="AQ455" i="3"/>
  <c r="AO455" i="3"/>
  <c r="AP455" i="3" s="1"/>
  <c r="AK455" i="3"/>
  <c r="BA455" i="3"/>
  <c r="AQ456" i="3"/>
  <c r="AO456" i="3"/>
  <c r="AP456" i="3" s="1"/>
  <c r="AK456" i="3"/>
  <c r="BA456" i="3"/>
  <c r="AQ457" i="3"/>
  <c r="AO457" i="3"/>
  <c r="AP457" i="3" s="1"/>
  <c r="AK457" i="3"/>
  <c r="BA457" i="3"/>
  <c r="AQ458" i="3"/>
  <c r="AO458" i="3"/>
  <c r="AP458" i="3" s="1"/>
  <c r="AK458" i="3"/>
  <c r="BA458" i="3"/>
  <c r="AQ459" i="3"/>
  <c r="AO459" i="3"/>
  <c r="AP459" i="3" s="1"/>
  <c r="AK459" i="3"/>
  <c r="BA459" i="3"/>
  <c r="AQ460" i="3"/>
  <c r="AO460" i="3"/>
  <c r="AP460" i="3" s="1"/>
  <c r="AK460" i="3"/>
  <c r="BA460" i="3"/>
  <c r="AQ461" i="3"/>
  <c r="AO461" i="3"/>
  <c r="AP461" i="3" s="1"/>
  <c r="AK461" i="3"/>
  <c r="BA461" i="3"/>
  <c r="AQ462" i="3"/>
  <c r="AO462" i="3"/>
  <c r="AP462" i="3" s="1"/>
  <c r="AK462" i="3"/>
  <c r="BA462" i="3"/>
  <c r="AQ463" i="3"/>
  <c r="AO463" i="3"/>
  <c r="AP463" i="3" s="1"/>
  <c r="AK463" i="3"/>
  <c r="BA463" i="3"/>
  <c r="AQ464" i="3"/>
  <c r="AO464" i="3"/>
  <c r="AP464" i="3" s="1"/>
  <c r="AK464" i="3"/>
  <c r="BA464" i="3"/>
  <c r="AQ465" i="3"/>
  <c r="AO465" i="3"/>
  <c r="AP465" i="3" s="1"/>
  <c r="AK465" i="3"/>
  <c r="BA465" i="3"/>
  <c r="AQ466" i="3"/>
  <c r="AO466" i="3"/>
  <c r="AP466" i="3" s="1"/>
  <c r="AK466" i="3"/>
  <c r="BA466" i="3"/>
  <c r="AQ467" i="3"/>
  <c r="AO467" i="3"/>
  <c r="AP467" i="3" s="1"/>
  <c r="AK467" i="3"/>
  <c r="BA467" i="3"/>
  <c r="AQ468" i="3"/>
  <c r="AO468" i="3"/>
  <c r="AP468" i="3"/>
  <c r="AK468" i="3"/>
  <c r="BA468" i="3"/>
  <c r="AQ469" i="3"/>
  <c r="AO469" i="3"/>
  <c r="AP469" i="3" s="1"/>
  <c r="AK469" i="3"/>
  <c r="BA469" i="3"/>
  <c r="AQ470" i="3"/>
  <c r="AO470" i="3"/>
  <c r="AP470" i="3" s="1"/>
  <c r="AK470" i="3"/>
  <c r="BA470" i="3"/>
  <c r="AQ471" i="3"/>
  <c r="AO471" i="3"/>
  <c r="AP471" i="3" s="1"/>
  <c r="AK471" i="3"/>
  <c r="BA471" i="3"/>
  <c r="AQ472" i="3"/>
  <c r="AO472" i="3"/>
  <c r="AP472" i="3" s="1"/>
  <c r="AK472" i="3"/>
  <c r="BA472" i="3"/>
  <c r="AQ473" i="3"/>
  <c r="AO473" i="3"/>
  <c r="AP473" i="3" s="1"/>
  <c r="AK473" i="3"/>
  <c r="BA473" i="3"/>
  <c r="AQ474" i="3"/>
  <c r="AO474" i="3"/>
  <c r="AP474" i="3" s="1"/>
  <c r="AR474" i="3" s="1"/>
  <c r="AS474" i="3" s="1"/>
  <c r="AT474" i="3" s="1"/>
  <c r="B474" i="3" s="1"/>
  <c r="AK474" i="3"/>
  <c r="BA474" i="3"/>
  <c r="AQ475" i="3"/>
  <c r="AO475" i="3"/>
  <c r="AP475" i="3" s="1"/>
  <c r="AK475" i="3"/>
  <c r="BA475" i="3"/>
  <c r="AQ476" i="3"/>
  <c r="AO476" i="3"/>
  <c r="AP476" i="3" s="1"/>
  <c r="AK476" i="3"/>
  <c r="BA476" i="3"/>
  <c r="AQ477" i="3"/>
  <c r="AO477" i="3"/>
  <c r="AP477" i="3" s="1"/>
  <c r="AK477" i="3"/>
  <c r="BA477" i="3"/>
  <c r="AQ478" i="3"/>
  <c r="AO478" i="3"/>
  <c r="AP478" i="3" s="1"/>
  <c r="AR478" i="3" s="1"/>
  <c r="AS478" i="3" s="1"/>
  <c r="AT478" i="3" s="1"/>
  <c r="B478" i="3" s="1"/>
  <c r="AK478" i="3"/>
  <c r="BA478" i="3"/>
  <c r="AQ479" i="3"/>
  <c r="AO479" i="3"/>
  <c r="AP479" i="3" s="1"/>
  <c r="AK479" i="3"/>
  <c r="BA479" i="3"/>
  <c r="AQ480" i="3"/>
  <c r="AO480" i="3"/>
  <c r="AP480" i="3" s="1"/>
  <c r="AR480" i="3" s="1"/>
  <c r="AK480" i="3"/>
  <c r="BA480" i="3"/>
  <c r="AQ481" i="3"/>
  <c r="AO481" i="3"/>
  <c r="AP481" i="3" s="1"/>
  <c r="AK481" i="3"/>
  <c r="BA481" i="3"/>
  <c r="AQ482" i="3"/>
  <c r="AO482" i="3"/>
  <c r="AP482" i="3" s="1"/>
  <c r="AK482" i="3"/>
  <c r="BA482" i="3"/>
  <c r="AQ483" i="3"/>
  <c r="AO483" i="3"/>
  <c r="AP483" i="3" s="1"/>
  <c r="AK483" i="3"/>
  <c r="BA483" i="3"/>
  <c r="AQ484" i="3"/>
  <c r="AO484" i="3"/>
  <c r="AP484" i="3" s="1"/>
  <c r="AK484" i="3"/>
  <c r="BA484" i="3"/>
  <c r="AQ485" i="3"/>
  <c r="AO485" i="3"/>
  <c r="AP485" i="3" s="1"/>
  <c r="AK485" i="3"/>
  <c r="BA485" i="3"/>
  <c r="AQ486" i="3"/>
  <c r="AO486" i="3"/>
  <c r="AP486" i="3"/>
  <c r="AR486" i="3" s="1"/>
  <c r="AK486" i="3"/>
  <c r="BA486" i="3"/>
  <c r="AQ487" i="3"/>
  <c r="AO487" i="3"/>
  <c r="AP487" i="3" s="1"/>
  <c r="AK487" i="3"/>
  <c r="BA487" i="3"/>
  <c r="AQ488" i="3"/>
  <c r="AO488" i="3"/>
  <c r="AP488" i="3" s="1"/>
  <c r="AR488" i="3" s="1"/>
  <c r="AK488" i="3"/>
  <c r="BA488" i="3"/>
  <c r="AQ489" i="3"/>
  <c r="AO489" i="3"/>
  <c r="AP489" i="3"/>
  <c r="AK489" i="3"/>
  <c r="BA489" i="3"/>
  <c r="AQ490" i="3"/>
  <c r="AO490" i="3"/>
  <c r="AP490" i="3" s="1"/>
  <c r="AK490" i="3"/>
  <c r="BA490" i="3"/>
  <c r="AQ491" i="3"/>
  <c r="AO491" i="3"/>
  <c r="AP491" i="3" s="1"/>
  <c r="AK491" i="3"/>
  <c r="BA491" i="3"/>
  <c r="AQ492" i="3"/>
  <c r="AO492" i="3"/>
  <c r="AP492" i="3" s="1"/>
  <c r="AK492" i="3"/>
  <c r="BA492" i="3"/>
  <c r="AQ493" i="3"/>
  <c r="AO493" i="3"/>
  <c r="AP493" i="3" s="1"/>
  <c r="AK493" i="3"/>
  <c r="BA493" i="3"/>
  <c r="AQ494" i="3"/>
  <c r="AO494" i="3"/>
  <c r="AP494" i="3" s="1"/>
  <c r="AK494" i="3"/>
  <c r="BA494" i="3"/>
  <c r="AQ495" i="3"/>
  <c r="AO495" i="3"/>
  <c r="AP495" i="3" s="1"/>
  <c r="AK495" i="3"/>
  <c r="BA495" i="3"/>
  <c r="AQ496" i="3"/>
  <c r="AO496" i="3"/>
  <c r="AP496" i="3" s="1"/>
  <c r="AK496" i="3"/>
  <c r="BA496" i="3"/>
  <c r="AQ497" i="3"/>
  <c r="AO497" i="3"/>
  <c r="AP497" i="3" s="1"/>
  <c r="AK497" i="3"/>
  <c r="BA497" i="3"/>
  <c r="AQ498" i="3"/>
  <c r="AO498" i="3"/>
  <c r="AP498" i="3" s="1"/>
  <c r="AK498" i="3"/>
  <c r="BA498" i="3"/>
  <c r="AQ499" i="3"/>
  <c r="AO499" i="3"/>
  <c r="AP499" i="3" s="1"/>
  <c r="AK499" i="3"/>
  <c r="BA499" i="3"/>
  <c r="AQ500" i="3"/>
  <c r="AO500" i="3"/>
  <c r="AP500" i="3" s="1"/>
  <c r="AK500" i="3"/>
  <c r="BA500" i="3"/>
  <c r="AQ501" i="3"/>
  <c r="AO501" i="3"/>
  <c r="AP501" i="3" s="1"/>
  <c r="AK501" i="3"/>
  <c r="BA501" i="3"/>
  <c r="AQ502" i="3"/>
  <c r="AO502" i="3"/>
  <c r="AP502" i="3" s="1"/>
  <c r="AK502" i="3"/>
  <c r="BA502" i="3"/>
  <c r="AQ503" i="3"/>
  <c r="AO503" i="3"/>
  <c r="AP503" i="3" s="1"/>
  <c r="AK503" i="3"/>
  <c r="BA503" i="3"/>
  <c r="AQ504" i="3"/>
  <c r="AO504" i="3"/>
  <c r="AP504" i="3" s="1"/>
  <c r="AK504" i="3"/>
  <c r="BA504" i="3"/>
  <c r="AQ505" i="3"/>
  <c r="AO505" i="3"/>
  <c r="AP505" i="3" s="1"/>
  <c r="AK505" i="3"/>
  <c r="BA505" i="3"/>
  <c r="AQ506" i="3"/>
  <c r="AO506" i="3"/>
  <c r="AP506" i="3" s="1"/>
  <c r="AK506" i="3"/>
  <c r="BA506" i="3"/>
  <c r="AQ507" i="3"/>
  <c r="AO507" i="3"/>
  <c r="AP507" i="3" s="1"/>
  <c r="AK507" i="3"/>
  <c r="BA507" i="3"/>
  <c r="AQ508" i="3"/>
  <c r="AO508" i="3"/>
  <c r="AP508" i="3" s="1"/>
  <c r="AK508" i="3"/>
  <c r="BA508" i="3"/>
  <c r="AQ509" i="3"/>
  <c r="AO509" i="3"/>
  <c r="AP509" i="3" s="1"/>
  <c r="AK509" i="3"/>
  <c r="BA509" i="3"/>
  <c r="AQ510" i="3"/>
  <c r="AO510" i="3"/>
  <c r="AP510" i="3" s="1"/>
  <c r="AK510" i="3"/>
  <c r="BA510" i="3"/>
  <c r="AQ511" i="3"/>
  <c r="AO511" i="3"/>
  <c r="AP511" i="3" s="1"/>
  <c r="AK511" i="3"/>
  <c r="BA511" i="3"/>
  <c r="AQ512" i="3"/>
  <c r="AO512" i="3"/>
  <c r="AP512" i="3" s="1"/>
  <c r="AK512" i="3"/>
  <c r="BA512" i="3"/>
  <c r="AQ513" i="3"/>
  <c r="AO513" i="3"/>
  <c r="AP513" i="3" s="1"/>
  <c r="AK513" i="3"/>
  <c r="BA513" i="3"/>
  <c r="AQ514" i="3"/>
  <c r="AO514" i="3"/>
  <c r="AP514" i="3" s="1"/>
  <c r="AK514" i="3"/>
  <c r="BA514" i="3"/>
  <c r="AQ515" i="3"/>
  <c r="AO515" i="3"/>
  <c r="AP515" i="3"/>
  <c r="AK515" i="3"/>
  <c r="BA515" i="3"/>
  <c r="AQ516" i="3"/>
  <c r="AO516" i="3"/>
  <c r="AP516" i="3" s="1"/>
  <c r="AK516" i="3"/>
  <c r="BA516" i="3"/>
  <c r="AQ517" i="3"/>
  <c r="AO517" i="3"/>
  <c r="AP517" i="3" s="1"/>
  <c r="AR517" i="3" s="1"/>
  <c r="AS517" i="3" s="1"/>
  <c r="AT517" i="3" s="1"/>
  <c r="B517" i="3" s="1"/>
  <c r="AK517" i="3"/>
  <c r="BA517" i="3"/>
  <c r="AQ518" i="3"/>
  <c r="AO518" i="3"/>
  <c r="AP518" i="3" s="1"/>
  <c r="AK518" i="3"/>
  <c r="BA518" i="3"/>
  <c r="AQ519" i="3"/>
  <c r="AO519" i="3"/>
  <c r="AP519" i="3" s="1"/>
  <c r="AK519" i="3"/>
  <c r="BA519" i="3"/>
  <c r="AQ520" i="3"/>
  <c r="AO520" i="3"/>
  <c r="AP520" i="3" s="1"/>
  <c r="AK520" i="3"/>
  <c r="BA520" i="3"/>
  <c r="AQ521" i="3"/>
  <c r="AO521" i="3"/>
  <c r="AP521" i="3" s="1"/>
  <c r="AK521" i="3"/>
  <c r="BA521" i="3"/>
  <c r="AQ522" i="3"/>
  <c r="AO522" i="3"/>
  <c r="AP522" i="3"/>
  <c r="AR522" i="3" s="1"/>
  <c r="AK522" i="3"/>
  <c r="BA522" i="3"/>
  <c r="AQ523" i="3"/>
  <c r="AO523" i="3"/>
  <c r="AP523" i="3" s="1"/>
  <c r="AK523" i="3"/>
  <c r="BA523" i="3"/>
  <c r="AQ524" i="3"/>
  <c r="AO524" i="3"/>
  <c r="AP524" i="3" s="1"/>
  <c r="AK524" i="3"/>
  <c r="BA524" i="3"/>
  <c r="AQ525" i="3"/>
  <c r="AO525" i="3"/>
  <c r="AP525" i="3" s="1"/>
  <c r="AK525" i="3"/>
  <c r="BA525" i="3"/>
  <c r="AQ526" i="3"/>
  <c r="AO526" i="3"/>
  <c r="AP526" i="3"/>
  <c r="AK526" i="3"/>
  <c r="BA526" i="3"/>
  <c r="AQ527" i="3"/>
  <c r="AO527" i="3"/>
  <c r="AP527" i="3" s="1"/>
  <c r="AK527" i="3"/>
  <c r="BA527" i="3"/>
  <c r="AQ528" i="3"/>
  <c r="AO528" i="3"/>
  <c r="AP528" i="3" s="1"/>
  <c r="AR528" i="3" s="1"/>
  <c r="AK528" i="3"/>
  <c r="BA528" i="3"/>
  <c r="AQ529" i="3"/>
  <c r="AO529" i="3"/>
  <c r="AP529" i="3" s="1"/>
  <c r="AR529" i="3" s="1"/>
  <c r="AS529" i="3" s="1"/>
  <c r="AT529" i="3" s="1"/>
  <c r="B529" i="3" s="1"/>
  <c r="AK529" i="3"/>
  <c r="BA529" i="3"/>
  <c r="AQ530" i="3"/>
  <c r="AO530" i="3"/>
  <c r="AP530" i="3" s="1"/>
  <c r="AK530" i="3"/>
  <c r="BA530" i="3"/>
  <c r="AQ531" i="3"/>
  <c r="AO531" i="3"/>
  <c r="AP531" i="3" s="1"/>
  <c r="AR531" i="3" s="1"/>
  <c r="AK531" i="3"/>
  <c r="BA531" i="3"/>
  <c r="AQ532" i="3"/>
  <c r="AO532" i="3"/>
  <c r="AP532" i="3" s="1"/>
  <c r="AK532" i="3"/>
  <c r="BA532" i="3"/>
  <c r="AQ533" i="3"/>
  <c r="AO533" i="3"/>
  <c r="AP533" i="3" s="1"/>
  <c r="AR533" i="3" s="1"/>
  <c r="AS533" i="3" s="1"/>
  <c r="AT533" i="3" s="1"/>
  <c r="B533" i="3" s="1"/>
  <c r="AK533" i="3"/>
  <c r="BA533" i="3"/>
  <c r="AQ534" i="3"/>
  <c r="AO534" i="3"/>
  <c r="AP534" i="3" s="1"/>
  <c r="AK534" i="3"/>
  <c r="BA534" i="3"/>
  <c r="AQ535" i="3"/>
  <c r="AO535" i="3"/>
  <c r="AP535" i="3" s="1"/>
  <c r="AR535" i="3" s="1"/>
  <c r="AS535" i="3" s="1"/>
  <c r="AT535" i="3" s="1"/>
  <c r="B535" i="3" s="1"/>
  <c r="AK535" i="3"/>
  <c r="BA535" i="3"/>
  <c r="AQ536" i="3"/>
  <c r="AO536" i="3"/>
  <c r="AP536" i="3" s="1"/>
  <c r="AR536" i="3" s="1"/>
  <c r="AS536" i="3" s="1"/>
  <c r="AT536" i="3" s="1"/>
  <c r="B536" i="3" s="1"/>
  <c r="AK536" i="3"/>
  <c r="BA536" i="3"/>
  <c r="AQ537" i="3"/>
  <c r="AO537" i="3"/>
  <c r="AP537" i="3" s="1"/>
  <c r="AK537" i="3"/>
  <c r="BA537" i="3"/>
  <c r="AQ538" i="3"/>
  <c r="AO538" i="3"/>
  <c r="AP538" i="3" s="1"/>
  <c r="AK538" i="3"/>
  <c r="BA538" i="3"/>
  <c r="AQ539" i="3"/>
  <c r="AO539" i="3"/>
  <c r="AP539" i="3" s="1"/>
  <c r="AK539" i="3"/>
  <c r="BA539" i="3"/>
  <c r="AQ540" i="3"/>
  <c r="AO540" i="3"/>
  <c r="AP540" i="3" s="1"/>
  <c r="AK540" i="3"/>
  <c r="BA540" i="3"/>
  <c r="AQ541" i="3"/>
  <c r="AO541" i="3"/>
  <c r="AP541" i="3" s="1"/>
  <c r="AK541" i="3"/>
  <c r="BA541" i="3"/>
  <c r="AQ542" i="3"/>
  <c r="AO542" i="3"/>
  <c r="AP542" i="3" s="1"/>
  <c r="AK542" i="3"/>
  <c r="BA542" i="3"/>
  <c r="AQ543" i="3"/>
  <c r="AO543" i="3"/>
  <c r="AP543" i="3" s="1"/>
  <c r="AK543" i="3"/>
  <c r="BA543" i="3"/>
  <c r="AQ544" i="3"/>
  <c r="AO544" i="3"/>
  <c r="AP544" i="3" s="1"/>
  <c r="AK544" i="3"/>
  <c r="BA544" i="3"/>
  <c r="AQ545" i="3"/>
  <c r="AO545" i="3"/>
  <c r="AP545" i="3" s="1"/>
  <c r="AK545" i="3"/>
  <c r="BA545" i="3"/>
  <c r="AQ546" i="3"/>
  <c r="AO546" i="3"/>
  <c r="AP546" i="3" s="1"/>
  <c r="AK546" i="3"/>
  <c r="BA546" i="3"/>
  <c r="AQ547" i="3"/>
  <c r="AO547" i="3"/>
  <c r="AP547" i="3" s="1"/>
  <c r="AK547" i="3"/>
  <c r="BA547" i="3"/>
  <c r="AQ548" i="3"/>
  <c r="AO548" i="3"/>
  <c r="AP548" i="3" s="1"/>
  <c r="AK548" i="3"/>
  <c r="BA548" i="3"/>
  <c r="AQ549" i="3"/>
  <c r="AO549" i="3"/>
  <c r="AP549" i="3" s="1"/>
  <c r="AK549" i="3"/>
  <c r="BA549" i="3"/>
  <c r="AQ550" i="3"/>
  <c r="AO550" i="3"/>
  <c r="AP550" i="3" s="1"/>
  <c r="AK550" i="3"/>
  <c r="BA550" i="3"/>
  <c r="AQ551" i="3"/>
  <c r="AO551" i="3"/>
  <c r="AP551" i="3" s="1"/>
  <c r="AK551" i="3"/>
  <c r="BA551" i="3"/>
  <c r="AQ552" i="3"/>
  <c r="AO552" i="3"/>
  <c r="AP552" i="3" s="1"/>
  <c r="AK552" i="3"/>
  <c r="BA552" i="3"/>
  <c r="AQ553" i="3"/>
  <c r="AO553" i="3"/>
  <c r="AP553" i="3" s="1"/>
  <c r="AK553" i="3"/>
  <c r="BA553" i="3"/>
  <c r="AQ554" i="3"/>
  <c r="AO554" i="3"/>
  <c r="AP554" i="3" s="1"/>
  <c r="AK554" i="3"/>
  <c r="BA554" i="3"/>
  <c r="AQ555" i="3"/>
  <c r="AO555" i="3"/>
  <c r="AP555" i="3" s="1"/>
  <c r="AK555" i="3"/>
  <c r="BA555" i="3"/>
  <c r="AQ556" i="3"/>
  <c r="AO556" i="3"/>
  <c r="AP556" i="3" s="1"/>
  <c r="AK556" i="3"/>
  <c r="BA556" i="3"/>
  <c r="AQ557" i="3"/>
  <c r="AO557" i="3"/>
  <c r="AP557" i="3" s="1"/>
  <c r="AK557" i="3"/>
  <c r="BA557" i="3"/>
  <c r="AQ558" i="3"/>
  <c r="AO558" i="3"/>
  <c r="AP558" i="3" s="1"/>
  <c r="AK558" i="3"/>
  <c r="BA558" i="3"/>
  <c r="AQ559" i="3"/>
  <c r="AO559" i="3"/>
  <c r="AP559" i="3" s="1"/>
  <c r="AK559" i="3"/>
  <c r="BA559" i="3"/>
  <c r="AQ560" i="3"/>
  <c r="AO560" i="3"/>
  <c r="AP560" i="3" s="1"/>
  <c r="AK560" i="3"/>
  <c r="BA560" i="3"/>
  <c r="AQ561" i="3"/>
  <c r="AO561" i="3"/>
  <c r="AP561" i="3" s="1"/>
  <c r="AK561" i="3"/>
  <c r="BA561" i="3"/>
  <c r="AQ562" i="3"/>
  <c r="AO562" i="3"/>
  <c r="AP562" i="3" s="1"/>
  <c r="AK562" i="3"/>
  <c r="BA562" i="3"/>
  <c r="AQ563" i="3"/>
  <c r="AO563" i="3"/>
  <c r="AP563" i="3" s="1"/>
  <c r="AK563" i="3"/>
  <c r="BA563" i="3"/>
  <c r="AQ564" i="3"/>
  <c r="AO564" i="3"/>
  <c r="AP564" i="3" s="1"/>
  <c r="AK564" i="3"/>
  <c r="BA564" i="3"/>
  <c r="AQ565" i="3"/>
  <c r="AO565" i="3"/>
  <c r="AP565" i="3" s="1"/>
  <c r="AK565" i="3"/>
  <c r="BA565" i="3"/>
  <c r="AQ566" i="3"/>
  <c r="AO566" i="3"/>
  <c r="AP566" i="3" s="1"/>
  <c r="AK566" i="3"/>
  <c r="BA566" i="3"/>
  <c r="AQ567" i="3"/>
  <c r="AO567" i="3"/>
  <c r="AP567" i="3" s="1"/>
  <c r="AK567" i="3"/>
  <c r="BA567" i="3"/>
  <c r="AQ568" i="3"/>
  <c r="AO568" i="3"/>
  <c r="AP568" i="3" s="1"/>
  <c r="AK568" i="3"/>
  <c r="BA568" i="3"/>
  <c r="AQ569" i="3"/>
  <c r="AO569" i="3"/>
  <c r="AP569" i="3" s="1"/>
  <c r="AK569" i="3"/>
  <c r="BA569" i="3"/>
  <c r="AQ570" i="3"/>
  <c r="AO570" i="3"/>
  <c r="AP570" i="3" s="1"/>
  <c r="AK570" i="3"/>
  <c r="BA570" i="3"/>
  <c r="AQ571" i="3"/>
  <c r="AO571" i="3"/>
  <c r="AP571" i="3" s="1"/>
  <c r="AK571" i="3"/>
  <c r="BA571" i="3"/>
  <c r="AQ572" i="3"/>
  <c r="AO572" i="3"/>
  <c r="AP572" i="3" s="1"/>
  <c r="AK572" i="3"/>
  <c r="BA572" i="3"/>
  <c r="AQ573" i="3"/>
  <c r="AO573" i="3"/>
  <c r="AP573" i="3" s="1"/>
  <c r="AK573" i="3"/>
  <c r="BA573" i="3"/>
  <c r="AQ574" i="3"/>
  <c r="AO574" i="3"/>
  <c r="AP574" i="3" s="1"/>
  <c r="AK574" i="3"/>
  <c r="BA574" i="3"/>
  <c r="AQ575" i="3"/>
  <c r="AO575" i="3"/>
  <c r="AP575" i="3" s="1"/>
  <c r="AK575" i="3"/>
  <c r="BA575" i="3"/>
  <c r="AQ576" i="3"/>
  <c r="AO576" i="3"/>
  <c r="AP576" i="3" s="1"/>
  <c r="AK576" i="3"/>
  <c r="BA576" i="3"/>
  <c r="AQ577" i="3"/>
  <c r="AO577" i="3"/>
  <c r="AP577" i="3" s="1"/>
  <c r="AK577" i="3"/>
  <c r="BA577" i="3"/>
  <c r="AQ578" i="3"/>
  <c r="AO578" i="3"/>
  <c r="AP578" i="3" s="1"/>
  <c r="AK578" i="3"/>
  <c r="BA578" i="3"/>
  <c r="AQ579" i="3"/>
  <c r="AO579" i="3"/>
  <c r="AP579" i="3" s="1"/>
  <c r="AK579" i="3"/>
  <c r="BA579" i="3"/>
  <c r="AQ580" i="3"/>
  <c r="AO580" i="3"/>
  <c r="AP580" i="3" s="1"/>
  <c r="AK580" i="3"/>
  <c r="BA580" i="3"/>
  <c r="AQ581" i="3"/>
  <c r="AO581" i="3"/>
  <c r="AP581" i="3" s="1"/>
  <c r="AK581" i="3"/>
  <c r="BA581" i="3"/>
  <c r="AQ582" i="3"/>
  <c r="AO582" i="3"/>
  <c r="AP582" i="3"/>
  <c r="AK582" i="3"/>
  <c r="BA582" i="3"/>
  <c r="AQ583" i="3"/>
  <c r="AO583" i="3"/>
  <c r="AP583" i="3" s="1"/>
  <c r="AK583" i="3"/>
  <c r="BA583" i="3"/>
  <c r="AQ584" i="3"/>
  <c r="AO584" i="3"/>
  <c r="AP584" i="3" s="1"/>
  <c r="AK584" i="3"/>
  <c r="BA584" i="3"/>
  <c r="AQ585" i="3"/>
  <c r="AO585" i="3"/>
  <c r="AP585" i="3" s="1"/>
  <c r="AK585" i="3"/>
  <c r="BA585" i="3"/>
  <c r="AQ586" i="3"/>
  <c r="AO586" i="3"/>
  <c r="AP586" i="3" s="1"/>
  <c r="AK586" i="3"/>
  <c r="BA586" i="3"/>
  <c r="AQ587" i="3"/>
  <c r="AO587" i="3"/>
  <c r="AP587" i="3" s="1"/>
  <c r="AK587" i="3"/>
  <c r="BA587" i="3"/>
  <c r="AQ588" i="3"/>
  <c r="AO588" i="3"/>
  <c r="AP588" i="3" s="1"/>
  <c r="AK588" i="3"/>
  <c r="BA588" i="3"/>
  <c r="AQ589" i="3"/>
  <c r="AO589" i="3"/>
  <c r="AP589" i="3" s="1"/>
  <c r="AK589" i="3"/>
  <c r="BA589" i="3"/>
  <c r="AQ590" i="3"/>
  <c r="AO590" i="3"/>
  <c r="AP590" i="3" s="1"/>
  <c r="AK590" i="3"/>
  <c r="BA590" i="3"/>
  <c r="AQ591" i="3"/>
  <c r="AO591" i="3"/>
  <c r="AP591" i="3" s="1"/>
  <c r="AK591" i="3"/>
  <c r="BA591" i="3"/>
  <c r="AQ592" i="3"/>
  <c r="AO592" i="3"/>
  <c r="AP592" i="3" s="1"/>
  <c r="AK592" i="3"/>
  <c r="BA592" i="3"/>
  <c r="AQ593" i="3"/>
  <c r="AO593" i="3"/>
  <c r="AP593" i="3" s="1"/>
  <c r="AK593" i="3"/>
  <c r="BA593" i="3"/>
  <c r="AQ594" i="3"/>
  <c r="AO594" i="3"/>
  <c r="AP594" i="3"/>
  <c r="AR594" i="3" s="1"/>
  <c r="AK594" i="3"/>
  <c r="BA594" i="3"/>
  <c r="AQ595" i="3"/>
  <c r="AO595" i="3"/>
  <c r="AP595" i="3" s="1"/>
  <c r="AR595" i="3" s="1"/>
  <c r="AK595" i="3"/>
  <c r="BA595" i="3"/>
  <c r="AQ596" i="3"/>
  <c r="AO596" i="3"/>
  <c r="AP596" i="3" s="1"/>
  <c r="AR596" i="3" s="1"/>
  <c r="AS596" i="3" s="1"/>
  <c r="AT596" i="3" s="1"/>
  <c r="B596" i="3" s="1"/>
  <c r="AK596" i="3"/>
  <c r="BA596" i="3"/>
  <c r="AQ597" i="3"/>
  <c r="AO597" i="3"/>
  <c r="AP597" i="3" s="1"/>
  <c r="AK597" i="3"/>
  <c r="BA597" i="3"/>
  <c r="AQ598" i="3"/>
  <c r="AO598" i="3"/>
  <c r="AP598" i="3" s="1"/>
  <c r="AR598" i="3" s="1"/>
  <c r="AS598" i="3" s="1"/>
  <c r="AT598" i="3" s="1"/>
  <c r="B598" i="3" s="1"/>
  <c r="AK598" i="3"/>
  <c r="BA598" i="3"/>
  <c r="AQ599" i="3"/>
  <c r="AO599" i="3"/>
  <c r="AP599" i="3"/>
  <c r="AR599" i="3" s="1"/>
  <c r="AS599" i="3" s="1"/>
  <c r="AT599" i="3" s="1"/>
  <c r="B599" i="3" s="1"/>
  <c r="AK599" i="3"/>
  <c r="BA599" i="3"/>
  <c r="AQ600" i="3"/>
  <c r="AO600" i="3"/>
  <c r="AP600" i="3" s="1"/>
  <c r="AR600" i="3" s="1"/>
  <c r="AS600" i="3" s="1"/>
  <c r="AT600" i="3" s="1"/>
  <c r="B600" i="3" s="1"/>
  <c r="AK600" i="3"/>
  <c r="BA600" i="3"/>
  <c r="AQ601" i="3"/>
  <c r="AO601" i="3"/>
  <c r="AP601" i="3" s="1"/>
  <c r="AR601" i="3" s="1"/>
  <c r="AS601" i="3" s="1"/>
  <c r="AT601" i="3" s="1"/>
  <c r="B601" i="3" s="1"/>
  <c r="AK601" i="3"/>
  <c r="BA601" i="3"/>
  <c r="AQ602" i="3"/>
  <c r="AO602" i="3"/>
  <c r="AP602" i="3" s="1"/>
  <c r="AK602" i="3"/>
  <c r="BA602" i="3"/>
  <c r="AQ603" i="3"/>
  <c r="AO603" i="3"/>
  <c r="AP603" i="3" s="1"/>
  <c r="AK603" i="3"/>
  <c r="BA603" i="3"/>
  <c r="AQ604" i="3"/>
  <c r="AO604" i="3"/>
  <c r="AP604" i="3" s="1"/>
  <c r="AK604" i="3"/>
  <c r="BA604" i="3"/>
  <c r="AQ605" i="3"/>
  <c r="AR605" i="3" s="1"/>
  <c r="AO605" i="3"/>
  <c r="AP605" i="3" s="1"/>
  <c r="AK605" i="3"/>
  <c r="BA605" i="3"/>
  <c r="AQ606" i="3"/>
  <c r="AO606" i="3"/>
  <c r="AP606" i="3" s="1"/>
  <c r="AK606" i="3"/>
  <c r="BA606" i="3"/>
  <c r="AQ607" i="3"/>
  <c r="AO607" i="3"/>
  <c r="AP607" i="3" s="1"/>
  <c r="AK607" i="3"/>
  <c r="BA607" i="3"/>
  <c r="AQ608" i="3"/>
  <c r="AO608" i="3"/>
  <c r="AP608" i="3" s="1"/>
  <c r="AK608" i="3"/>
  <c r="BA608" i="3"/>
  <c r="AQ609" i="3"/>
  <c r="AO609" i="3"/>
  <c r="AP609" i="3" s="1"/>
  <c r="AK609" i="3"/>
  <c r="BA609" i="3"/>
  <c r="AQ610" i="3"/>
  <c r="AO610" i="3"/>
  <c r="AP610" i="3" s="1"/>
  <c r="AK610" i="3"/>
  <c r="BA610" i="3"/>
  <c r="AQ611" i="3"/>
  <c r="AO611" i="3"/>
  <c r="AP611" i="3" s="1"/>
  <c r="AK611" i="3"/>
  <c r="BA611" i="3"/>
  <c r="AQ612" i="3"/>
  <c r="AO612" i="3"/>
  <c r="AP612" i="3" s="1"/>
  <c r="AK612" i="3"/>
  <c r="BA612" i="3"/>
  <c r="AQ613" i="3"/>
  <c r="AO613" i="3"/>
  <c r="AP613" i="3" s="1"/>
  <c r="AK613" i="3"/>
  <c r="BA613" i="3"/>
  <c r="AQ614" i="3"/>
  <c r="AO614" i="3"/>
  <c r="AP614" i="3" s="1"/>
  <c r="AK614" i="3"/>
  <c r="BA614" i="3"/>
  <c r="AQ615" i="3"/>
  <c r="AO615" i="3"/>
  <c r="AP615" i="3" s="1"/>
  <c r="AK615" i="3"/>
  <c r="BA615" i="3"/>
  <c r="AQ616" i="3"/>
  <c r="AO616" i="3"/>
  <c r="AP616" i="3" s="1"/>
  <c r="AK616" i="3"/>
  <c r="BA616" i="3"/>
  <c r="AQ617" i="3"/>
  <c r="AO617" i="3"/>
  <c r="AP617" i="3" s="1"/>
  <c r="AK617" i="3"/>
  <c r="BA617" i="3"/>
  <c r="AQ618" i="3"/>
  <c r="AO618" i="3"/>
  <c r="AP618" i="3" s="1"/>
  <c r="AK618" i="3"/>
  <c r="BA618" i="3"/>
  <c r="AQ619" i="3"/>
  <c r="AO619" i="3"/>
  <c r="AP619" i="3" s="1"/>
  <c r="AK619" i="3"/>
  <c r="BA619" i="3"/>
  <c r="AQ620" i="3"/>
  <c r="AO620" i="3"/>
  <c r="AP620" i="3" s="1"/>
  <c r="AK620" i="3"/>
  <c r="BA620" i="3"/>
  <c r="AQ621" i="3"/>
  <c r="AO621" i="3"/>
  <c r="AP621" i="3" s="1"/>
  <c r="AK621" i="3"/>
  <c r="BA621" i="3"/>
  <c r="AQ622" i="3"/>
  <c r="AO622" i="3"/>
  <c r="AP622" i="3" s="1"/>
  <c r="AK622" i="3"/>
  <c r="BA622" i="3"/>
  <c r="AQ623" i="3"/>
  <c r="AO623" i="3"/>
  <c r="AP623" i="3" s="1"/>
  <c r="AK623" i="3"/>
  <c r="BA623" i="3"/>
  <c r="AQ624" i="3"/>
  <c r="AO624" i="3"/>
  <c r="AP624" i="3" s="1"/>
  <c r="AK624" i="3"/>
  <c r="BA624" i="3"/>
  <c r="AQ625" i="3"/>
  <c r="AO625" i="3"/>
  <c r="AP625" i="3" s="1"/>
  <c r="AK625" i="3"/>
  <c r="BA626" i="3"/>
  <c r="AQ627" i="3"/>
  <c r="AO627" i="3"/>
  <c r="AP627" i="3" s="1"/>
  <c r="AK627" i="3"/>
  <c r="BA627" i="3"/>
  <c r="AQ628" i="3"/>
  <c r="AO628" i="3"/>
  <c r="AP628" i="3" s="1"/>
  <c r="AK628" i="3"/>
  <c r="BA628" i="3"/>
  <c r="AQ629" i="3"/>
  <c r="AO629" i="3"/>
  <c r="AP629" i="3" s="1"/>
  <c r="AK629" i="3"/>
  <c r="BA629" i="3"/>
  <c r="AQ630" i="3"/>
  <c r="AO630" i="3"/>
  <c r="AP630" i="3" s="1"/>
  <c r="AK630" i="3"/>
  <c r="BA630" i="3"/>
  <c r="AQ631" i="3"/>
  <c r="AO631" i="3"/>
  <c r="AP631" i="3" s="1"/>
  <c r="AK631" i="3"/>
  <c r="BA631" i="3"/>
  <c r="AQ632" i="3"/>
  <c r="AO632" i="3"/>
  <c r="AP632" i="3" s="1"/>
  <c r="AK632" i="3"/>
  <c r="BA632" i="3"/>
  <c r="AQ633" i="3"/>
  <c r="AO633" i="3"/>
  <c r="AP633" i="3" s="1"/>
  <c r="AK633" i="3"/>
  <c r="BA633" i="3"/>
  <c r="AQ634" i="3"/>
  <c r="AO634" i="3"/>
  <c r="AP634" i="3" s="1"/>
  <c r="AK634" i="3"/>
  <c r="BA634" i="3"/>
  <c r="AQ635" i="3"/>
  <c r="AO635" i="3"/>
  <c r="AP635" i="3" s="1"/>
  <c r="AK635" i="3"/>
  <c r="BA635" i="3"/>
  <c r="AQ636" i="3"/>
  <c r="AO636" i="3"/>
  <c r="AP636" i="3" s="1"/>
  <c r="AK636" i="3"/>
  <c r="BA636" i="3"/>
  <c r="AQ637" i="3"/>
  <c r="AO637" i="3"/>
  <c r="AP637" i="3" s="1"/>
  <c r="AK637" i="3"/>
  <c r="BA637" i="3"/>
  <c r="AQ638" i="3"/>
  <c r="AO638" i="3"/>
  <c r="AP638" i="3" s="1"/>
  <c r="AK638" i="3"/>
  <c r="BA638" i="3"/>
  <c r="AQ639" i="3"/>
  <c r="AO639" i="3"/>
  <c r="AP639" i="3"/>
  <c r="AK639" i="3"/>
  <c r="BA639" i="3"/>
  <c r="AQ640" i="3"/>
  <c r="AO640" i="3"/>
  <c r="AP640" i="3" s="1"/>
  <c r="AK640" i="3"/>
  <c r="BA640" i="3"/>
  <c r="AQ641" i="3"/>
  <c r="AO641" i="3"/>
  <c r="AP641" i="3" s="1"/>
  <c r="AR641" i="3" s="1"/>
  <c r="AK641" i="3"/>
  <c r="BA641" i="3"/>
  <c r="AQ642" i="3"/>
  <c r="AO642" i="3"/>
  <c r="AP642" i="3" s="1"/>
  <c r="AK642" i="3"/>
  <c r="BA642" i="3"/>
  <c r="AQ643" i="3"/>
  <c r="AO643" i="3"/>
  <c r="AP643" i="3" s="1"/>
  <c r="AR643" i="3" s="1"/>
  <c r="AS643" i="3" s="1"/>
  <c r="AT643" i="3" s="1"/>
  <c r="B643" i="3" s="1"/>
  <c r="AK643" i="3"/>
  <c r="BA643" i="3"/>
  <c r="AQ644" i="3"/>
  <c r="AO644" i="3"/>
  <c r="AP644" i="3" s="1"/>
  <c r="AR644" i="3" s="1"/>
  <c r="AK644" i="3"/>
  <c r="BA644" i="3"/>
  <c r="AQ645" i="3"/>
  <c r="AO645" i="3"/>
  <c r="AP645" i="3" s="1"/>
  <c r="AK645" i="3"/>
  <c r="BA645" i="3"/>
  <c r="AQ646" i="3"/>
  <c r="AO646" i="3"/>
  <c r="AP646" i="3" s="1"/>
  <c r="AK646" i="3"/>
  <c r="BA646" i="3"/>
  <c r="AQ647" i="3"/>
  <c r="AO647" i="3"/>
  <c r="AP647" i="3" s="1"/>
  <c r="AK647" i="3"/>
  <c r="BA647" i="3"/>
  <c r="AQ648" i="3"/>
  <c r="AO648" i="3"/>
  <c r="AP648" i="3"/>
  <c r="AR648" i="3" s="1"/>
  <c r="AS648" i="3" s="1"/>
  <c r="AT648" i="3" s="1"/>
  <c r="B648" i="3" s="1"/>
  <c r="AK648" i="3"/>
  <c r="BA648" i="3"/>
  <c r="AQ649" i="3"/>
  <c r="AO649" i="3"/>
  <c r="AP649" i="3" s="1"/>
  <c r="AK649" i="3"/>
  <c r="BA649" i="3"/>
  <c r="AQ650" i="3"/>
  <c r="AO650" i="3"/>
  <c r="AP650" i="3" s="1"/>
  <c r="AK650" i="3"/>
  <c r="BA650" i="3"/>
  <c r="AQ651" i="3"/>
  <c r="AO651" i="3"/>
  <c r="AP651" i="3" s="1"/>
  <c r="AK651" i="3"/>
  <c r="BA651" i="3"/>
  <c r="AQ652" i="3"/>
  <c r="AO652" i="3"/>
  <c r="AP652" i="3" s="1"/>
  <c r="AK652" i="3"/>
  <c r="BA652" i="3"/>
  <c r="AQ653" i="3"/>
  <c r="AO653" i="3"/>
  <c r="AP653" i="3" s="1"/>
  <c r="AK653" i="3"/>
  <c r="BA653" i="3"/>
  <c r="AQ654" i="3"/>
  <c r="AO654" i="3"/>
  <c r="AP654" i="3" s="1"/>
  <c r="AK654" i="3"/>
  <c r="BA654" i="3"/>
  <c r="AQ655" i="3"/>
  <c r="AO655" i="3"/>
  <c r="AP655" i="3" s="1"/>
  <c r="AK655" i="3"/>
  <c r="BA655" i="3"/>
  <c r="AQ656" i="3"/>
  <c r="AO656" i="3"/>
  <c r="AP656" i="3" s="1"/>
  <c r="AK656" i="3"/>
  <c r="BA656" i="3"/>
  <c r="AQ657" i="3"/>
  <c r="AO657" i="3"/>
  <c r="AP657" i="3" s="1"/>
  <c r="AK657" i="3"/>
  <c r="BA657" i="3"/>
  <c r="AQ658" i="3"/>
  <c r="AO658" i="3"/>
  <c r="AP658" i="3" s="1"/>
  <c r="AK658" i="3"/>
  <c r="BA658" i="3"/>
  <c r="AQ659" i="3"/>
  <c r="AO659" i="3"/>
  <c r="AP659" i="3" s="1"/>
  <c r="AR659" i="3" s="1"/>
  <c r="AK659" i="3"/>
  <c r="BA659" i="3"/>
  <c r="AQ660" i="3"/>
  <c r="AO660" i="3"/>
  <c r="AP660" i="3" s="1"/>
  <c r="AK660" i="3"/>
  <c r="BA660" i="3"/>
  <c r="AQ661" i="3"/>
  <c r="AO661" i="3"/>
  <c r="AP661" i="3" s="1"/>
  <c r="AK661" i="3"/>
  <c r="BA661" i="3"/>
  <c r="AQ662" i="3"/>
  <c r="AO662" i="3"/>
  <c r="AP662" i="3" s="1"/>
  <c r="AK662" i="3"/>
  <c r="BA662" i="3"/>
  <c r="AQ663" i="3"/>
  <c r="AO663" i="3"/>
  <c r="AP663" i="3" s="1"/>
  <c r="AK663" i="3"/>
  <c r="BA663" i="3"/>
  <c r="AQ664" i="3"/>
  <c r="AO664" i="3"/>
  <c r="AP664" i="3" s="1"/>
  <c r="AR664" i="3" s="1"/>
  <c r="AS664" i="3" s="1"/>
  <c r="AT664" i="3" s="1"/>
  <c r="B664" i="3" s="1"/>
  <c r="AK664" i="3"/>
  <c r="BA664" i="3"/>
  <c r="AQ665" i="3"/>
  <c r="AO665" i="3"/>
  <c r="AP665" i="3" s="1"/>
  <c r="AK665" i="3"/>
  <c r="BA665" i="3"/>
  <c r="AQ666" i="3"/>
  <c r="AO666" i="3"/>
  <c r="AP666" i="3" s="1"/>
  <c r="AR666" i="3" s="1"/>
  <c r="AS666" i="3" s="1"/>
  <c r="AT666" i="3" s="1"/>
  <c r="B666" i="3" s="1"/>
  <c r="AK666" i="3"/>
  <c r="BA666" i="3"/>
  <c r="AQ667" i="3"/>
  <c r="AO667" i="3"/>
  <c r="AP667" i="3" s="1"/>
  <c r="AK667" i="3"/>
  <c r="BA667" i="3"/>
  <c r="AQ668" i="3"/>
  <c r="AO668" i="3"/>
  <c r="AP668" i="3" s="1"/>
  <c r="AK668" i="3"/>
  <c r="BA668" i="3"/>
  <c r="AQ669" i="3"/>
  <c r="AO669" i="3"/>
  <c r="AP669" i="3" s="1"/>
  <c r="AK669" i="3"/>
  <c r="BA669" i="3"/>
  <c r="AQ670" i="3"/>
  <c r="AO670" i="3"/>
  <c r="AP670" i="3" s="1"/>
  <c r="AK670" i="3"/>
  <c r="BA670" i="3"/>
  <c r="AQ671" i="3"/>
  <c r="AO671" i="3"/>
  <c r="AP671" i="3" s="1"/>
  <c r="AK671" i="3"/>
  <c r="BA671" i="3"/>
  <c r="AQ672" i="3"/>
  <c r="AO672" i="3"/>
  <c r="AP672" i="3" s="1"/>
  <c r="AK672" i="3"/>
  <c r="BA672" i="3"/>
  <c r="AQ673" i="3"/>
  <c r="AO673" i="3"/>
  <c r="AP673" i="3" s="1"/>
  <c r="AK673" i="3"/>
  <c r="BA673" i="3"/>
  <c r="AQ674" i="3"/>
  <c r="AO674" i="3"/>
  <c r="AP674" i="3" s="1"/>
  <c r="AK674" i="3"/>
  <c r="BA674" i="3"/>
  <c r="AQ675" i="3"/>
  <c r="AO675" i="3"/>
  <c r="AP675" i="3" s="1"/>
  <c r="AK675" i="3"/>
  <c r="BA675" i="3"/>
  <c r="AQ676" i="3"/>
  <c r="AO676" i="3"/>
  <c r="AP676" i="3" s="1"/>
  <c r="AK676" i="3"/>
  <c r="BA676" i="3"/>
  <c r="AQ677" i="3"/>
  <c r="AO677" i="3"/>
  <c r="AP677" i="3" s="1"/>
  <c r="AK677" i="3"/>
  <c r="BA677" i="3"/>
  <c r="AQ678" i="3"/>
  <c r="AO678" i="3"/>
  <c r="AP678" i="3" s="1"/>
  <c r="AK678" i="3"/>
  <c r="BA678" i="3"/>
  <c r="AQ679" i="3"/>
  <c r="AO679" i="3"/>
  <c r="AP679" i="3" s="1"/>
  <c r="AK679" i="3"/>
  <c r="BA679" i="3"/>
  <c r="AQ680" i="3"/>
  <c r="AO680" i="3"/>
  <c r="AP680" i="3" s="1"/>
  <c r="AK680" i="3"/>
  <c r="BA680" i="3"/>
  <c r="AQ681" i="3"/>
  <c r="AO681" i="3"/>
  <c r="AP681" i="3" s="1"/>
  <c r="AK681" i="3"/>
  <c r="BA681" i="3"/>
  <c r="AQ682" i="3"/>
  <c r="AO682" i="3"/>
  <c r="AP682" i="3" s="1"/>
  <c r="AK682" i="3"/>
  <c r="BA682" i="3"/>
  <c r="AQ683" i="3"/>
  <c r="AO683" i="3"/>
  <c r="AP683" i="3" s="1"/>
  <c r="AK683" i="3"/>
  <c r="BA683" i="3"/>
  <c r="AQ684" i="3"/>
  <c r="AO684" i="3"/>
  <c r="AP684" i="3"/>
  <c r="AR684" i="3" s="1"/>
  <c r="AK684" i="3"/>
  <c r="BA684" i="3"/>
  <c r="AQ685" i="3"/>
  <c r="AO685" i="3"/>
  <c r="AP685" i="3" s="1"/>
  <c r="AR685" i="3" s="1"/>
  <c r="AK685" i="3"/>
  <c r="BA685" i="3"/>
  <c r="AQ686" i="3"/>
  <c r="AO686" i="3"/>
  <c r="AP686" i="3" s="1"/>
  <c r="AK686" i="3"/>
  <c r="BA686" i="3"/>
  <c r="AQ687" i="3"/>
  <c r="AO687" i="3"/>
  <c r="AP687" i="3" s="1"/>
  <c r="AK687" i="3"/>
  <c r="BA687" i="3"/>
  <c r="AQ688" i="3"/>
  <c r="AO688" i="3"/>
  <c r="AP688" i="3" s="1"/>
  <c r="AK688" i="3"/>
  <c r="BA688" i="3"/>
  <c r="AQ689" i="3"/>
  <c r="AO689" i="3"/>
  <c r="AP689" i="3" s="1"/>
  <c r="AR689" i="3" s="1"/>
  <c r="AK689" i="3"/>
  <c r="BA689" i="3"/>
  <c r="AQ690" i="3"/>
  <c r="AO690" i="3"/>
  <c r="AP690" i="3" s="1"/>
  <c r="AK690" i="3"/>
  <c r="BA690" i="3"/>
  <c r="AQ691" i="3"/>
  <c r="AO691" i="3"/>
  <c r="AP691" i="3" s="1"/>
  <c r="AR691" i="3" s="1"/>
  <c r="AK691" i="3"/>
  <c r="BA691" i="3"/>
  <c r="AQ692" i="3"/>
  <c r="AO692" i="3"/>
  <c r="AP692" i="3" s="1"/>
  <c r="AK692" i="3"/>
  <c r="BA692" i="3"/>
  <c r="AQ693" i="3"/>
  <c r="AO693" i="3"/>
  <c r="AP693" i="3" s="1"/>
  <c r="AK693" i="3"/>
  <c r="BA693" i="3"/>
  <c r="AQ694" i="3"/>
  <c r="AO694" i="3"/>
  <c r="AP694" i="3" s="1"/>
  <c r="AR694" i="3" s="1"/>
  <c r="AK694" i="3"/>
  <c r="BA694" i="3"/>
  <c r="AQ695" i="3"/>
  <c r="AO695" i="3"/>
  <c r="AP695" i="3" s="1"/>
  <c r="AK695" i="3"/>
  <c r="BA695" i="3"/>
  <c r="AQ696" i="3"/>
  <c r="AO696" i="3"/>
  <c r="AP696" i="3" s="1"/>
  <c r="AK696" i="3"/>
  <c r="BA696" i="3"/>
  <c r="AQ697" i="3"/>
  <c r="AO697" i="3"/>
  <c r="AP697" i="3" s="1"/>
  <c r="AR697" i="3" s="1"/>
  <c r="AK697" i="3"/>
  <c r="BA697" i="3"/>
  <c r="AQ698" i="3"/>
  <c r="AO698" i="3"/>
  <c r="AP698" i="3" s="1"/>
  <c r="AR698" i="3" s="1"/>
  <c r="AK698" i="3"/>
  <c r="BA698" i="3"/>
  <c r="AQ699" i="3"/>
  <c r="AO699" i="3"/>
  <c r="AP699" i="3" s="1"/>
  <c r="AK699" i="3"/>
  <c r="BA699" i="3"/>
  <c r="AQ700" i="3"/>
  <c r="AO700" i="3"/>
  <c r="AP700" i="3" s="1"/>
  <c r="AR700" i="3" s="1"/>
  <c r="AK700" i="3"/>
  <c r="BA700" i="3"/>
  <c r="AQ701" i="3"/>
  <c r="AO701" i="3"/>
  <c r="AP701" i="3" s="1"/>
  <c r="AK701" i="3"/>
  <c r="BA701" i="3"/>
  <c r="AQ702" i="3"/>
  <c r="AO702" i="3"/>
  <c r="AP702" i="3" s="1"/>
  <c r="AK702" i="3"/>
  <c r="BA702" i="3"/>
  <c r="AQ703" i="3"/>
  <c r="AO703" i="3"/>
  <c r="AP703" i="3" s="1"/>
  <c r="AK703" i="3"/>
  <c r="BA703" i="3"/>
  <c r="AQ704" i="3"/>
  <c r="AO704" i="3"/>
  <c r="AP704" i="3" s="1"/>
  <c r="AR704" i="3" s="1"/>
  <c r="AS704" i="3" s="1"/>
  <c r="AT704" i="3" s="1"/>
  <c r="B704" i="3" s="1"/>
  <c r="AK704" i="3"/>
  <c r="BA704" i="3"/>
  <c r="AQ705" i="3"/>
  <c r="AO705" i="3"/>
  <c r="AP705" i="3"/>
  <c r="AR705" i="3" s="1"/>
  <c r="AK705" i="3"/>
  <c r="BA705" i="3"/>
  <c r="AQ706" i="3"/>
  <c r="AO706" i="3"/>
  <c r="AP706" i="3" s="1"/>
  <c r="AR706" i="3" s="1"/>
  <c r="AK706" i="3"/>
  <c r="BA706" i="3"/>
  <c r="AQ707" i="3"/>
  <c r="AO707" i="3"/>
  <c r="AP707" i="3" s="1"/>
  <c r="AK707" i="3"/>
  <c r="BA707" i="3"/>
  <c r="AQ708" i="3"/>
  <c r="AO708" i="3"/>
  <c r="AP708" i="3" s="1"/>
  <c r="AK708" i="3"/>
  <c r="BA708" i="3"/>
  <c r="AQ709" i="3"/>
  <c r="AO709" i="3"/>
  <c r="AP709" i="3" s="1"/>
  <c r="AK709" i="3"/>
  <c r="BA709" i="3"/>
  <c r="AQ710" i="3"/>
  <c r="AO710" i="3"/>
  <c r="AP710" i="3" s="1"/>
  <c r="AR710" i="3" s="1"/>
  <c r="AS710" i="3" s="1"/>
  <c r="AT710" i="3" s="1"/>
  <c r="B710" i="3" s="1"/>
  <c r="AK710" i="3"/>
  <c r="BA710" i="3"/>
  <c r="AQ711" i="3"/>
  <c r="AO711" i="3"/>
  <c r="AP711" i="3" s="1"/>
  <c r="AR711" i="3" s="1"/>
  <c r="AS711" i="3" s="1"/>
  <c r="AT711" i="3" s="1"/>
  <c r="B711" i="3" s="1"/>
  <c r="AK711" i="3"/>
  <c r="BA711" i="3"/>
  <c r="AQ712" i="3"/>
  <c r="AO712" i="3"/>
  <c r="AP712" i="3" s="1"/>
  <c r="AR712" i="3" s="1"/>
  <c r="AS712" i="3" s="1"/>
  <c r="AT712" i="3" s="1"/>
  <c r="B712" i="3" s="1"/>
  <c r="AK712" i="3"/>
  <c r="BA712" i="3"/>
  <c r="AQ713" i="3"/>
  <c r="AO713" i="3"/>
  <c r="AP713" i="3" s="1"/>
  <c r="AK713" i="3"/>
  <c r="BA713" i="3"/>
  <c r="AQ714" i="3"/>
  <c r="AO714" i="3"/>
  <c r="AP714" i="3" s="1"/>
  <c r="AR714" i="3" s="1"/>
  <c r="AK714" i="3"/>
  <c r="BA714" i="3"/>
  <c r="AQ715" i="3"/>
  <c r="AO715" i="3"/>
  <c r="AP715" i="3" s="1"/>
  <c r="AK715" i="3"/>
  <c r="BA715" i="3"/>
  <c r="AQ716" i="3"/>
  <c r="AO716" i="3"/>
  <c r="AP716" i="3" s="1"/>
  <c r="AR716" i="3" s="1"/>
  <c r="AK716" i="3"/>
  <c r="BA716" i="3"/>
  <c r="AQ717" i="3"/>
  <c r="AO717" i="3"/>
  <c r="AP717" i="3" s="1"/>
  <c r="AK717" i="3"/>
  <c r="AQ719" i="3"/>
  <c r="AO719" i="3"/>
  <c r="AP719" i="3" s="1"/>
  <c r="AK719" i="3"/>
  <c r="AL719" i="3"/>
  <c r="AM719" i="3"/>
  <c r="AN719" i="3"/>
  <c r="AU719" i="3"/>
  <c r="AV719" i="3"/>
  <c r="AW719" i="3" s="1"/>
  <c r="AX719" i="3"/>
  <c r="AY719" i="3" s="1"/>
  <c r="BA719" i="3"/>
  <c r="AQ720" i="3"/>
  <c r="AO720" i="3"/>
  <c r="AP720" i="3" s="1"/>
  <c r="AK720" i="3"/>
  <c r="AL720" i="3"/>
  <c r="AM720" i="3"/>
  <c r="AN720" i="3"/>
  <c r="AU720" i="3"/>
  <c r="AV720" i="3"/>
  <c r="AW720" i="3"/>
  <c r="AX720" i="3"/>
  <c r="AY720" i="3" s="1"/>
  <c r="BA720" i="3"/>
  <c r="AQ721" i="3"/>
  <c r="AO721" i="3"/>
  <c r="AP721" i="3" s="1"/>
  <c r="AK721" i="3"/>
  <c r="AL721" i="3"/>
  <c r="AM721" i="3"/>
  <c r="AN721" i="3"/>
  <c r="AU721" i="3"/>
  <c r="AV721" i="3" s="1"/>
  <c r="AW721" i="3" s="1"/>
  <c r="AX721" i="3"/>
  <c r="AY721" i="3" s="1"/>
  <c r="BA721" i="3"/>
  <c r="AQ722" i="3"/>
  <c r="AO722" i="3"/>
  <c r="AP722" i="3" s="1"/>
  <c r="AK722" i="3"/>
  <c r="AL722" i="3"/>
  <c r="AM722" i="3"/>
  <c r="AN722" i="3"/>
  <c r="AU722" i="3"/>
  <c r="AV722" i="3" s="1"/>
  <c r="AW722" i="3" s="1"/>
  <c r="AX722" i="3"/>
  <c r="AY722" i="3" s="1"/>
  <c r="AZ722" i="3" s="1"/>
  <c r="BA722" i="3"/>
  <c r="AQ723" i="3"/>
  <c r="AO723" i="3"/>
  <c r="AP723" i="3" s="1"/>
  <c r="AK723" i="3"/>
  <c r="AL723" i="3"/>
  <c r="AM723" i="3"/>
  <c r="AN723" i="3"/>
  <c r="AU723" i="3"/>
  <c r="AV723" i="3"/>
  <c r="AW723" i="3" s="1"/>
  <c r="AX723" i="3"/>
  <c r="AY723" i="3" s="1"/>
  <c r="BA723" i="3"/>
  <c r="AQ724" i="3"/>
  <c r="AO724" i="3"/>
  <c r="AP724" i="3" s="1"/>
  <c r="AK724" i="3"/>
  <c r="AL724" i="3"/>
  <c r="AM724" i="3"/>
  <c r="AN724" i="3"/>
  <c r="AU724" i="3"/>
  <c r="AV724" i="3"/>
  <c r="AW724" i="3" s="1"/>
  <c r="AX724" i="3"/>
  <c r="AY724" i="3" s="1"/>
  <c r="BA724" i="3"/>
  <c r="AQ725" i="3"/>
  <c r="AO725" i="3"/>
  <c r="AP725" i="3" s="1"/>
  <c r="AK725" i="3"/>
  <c r="AL725" i="3"/>
  <c r="AM725" i="3"/>
  <c r="AN725" i="3"/>
  <c r="AU725" i="3"/>
  <c r="AV725" i="3"/>
  <c r="AW725" i="3" s="1"/>
  <c r="AX725" i="3"/>
  <c r="AY725" i="3" s="1"/>
  <c r="BA725" i="3"/>
  <c r="AQ726" i="3"/>
  <c r="AO726" i="3"/>
  <c r="AP726" i="3" s="1"/>
  <c r="AK726" i="3"/>
  <c r="AL726" i="3"/>
  <c r="AM726" i="3"/>
  <c r="AN726" i="3"/>
  <c r="BA726" i="3"/>
  <c r="AQ727" i="3"/>
  <c r="AO727" i="3"/>
  <c r="AP727" i="3" s="1"/>
  <c r="AK727" i="3"/>
  <c r="AL727" i="3"/>
  <c r="AM727" i="3"/>
  <c r="AN727" i="3"/>
  <c r="BA727" i="3"/>
  <c r="AQ728" i="3"/>
  <c r="AO728" i="3"/>
  <c r="AP728" i="3" s="1"/>
  <c r="AK728" i="3"/>
  <c r="AL728" i="3"/>
  <c r="AM728" i="3"/>
  <c r="AN728" i="3"/>
  <c r="AU728" i="3"/>
  <c r="AV728" i="3" s="1"/>
  <c r="AW728" i="3" s="1"/>
  <c r="AX728" i="3"/>
  <c r="AY728" i="3" s="1"/>
  <c r="BA728" i="3"/>
  <c r="AQ729" i="3"/>
  <c r="AO729" i="3"/>
  <c r="AP729" i="3" s="1"/>
  <c r="AK729" i="3"/>
  <c r="AL729" i="3"/>
  <c r="AM729" i="3"/>
  <c r="AN729" i="3"/>
  <c r="AU729" i="3"/>
  <c r="AV729" i="3"/>
  <c r="AW729" i="3" s="1"/>
  <c r="AX729" i="3"/>
  <c r="AY729" i="3" s="1"/>
  <c r="BA729" i="3"/>
  <c r="AQ730" i="3"/>
  <c r="AO730" i="3"/>
  <c r="AP730" i="3"/>
  <c r="AK730" i="3"/>
  <c r="AL730" i="3"/>
  <c r="AM730" i="3"/>
  <c r="AN730" i="3"/>
  <c r="AU730" i="3"/>
  <c r="AV730" i="3"/>
  <c r="AW730" i="3" s="1"/>
  <c r="AX730" i="3"/>
  <c r="AY730" i="3" s="1"/>
  <c r="BA730" i="3"/>
  <c r="AQ731" i="3"/>
  <c r="AO731" i="3"/>
  <c r="AP731" i="3" s="1"/>
  <c r="AK731" i="3"/>
  <c r="AL731" i="3"/>
  <c r="AM731" i="3"/>
  <c r="AN731" i="3"/>
  <c r="AU731" i="3"/>
  <c r="AV731" i="3"/>
  <c r="AW731" i="3" s="1"/>
  <c r="AX731" i="3"/>
  <c r="AY731" i="3" s="1"/>
  <c r="AZ731" i="3" s="1"/>
  <c r="BA731" i="3"/>
  <c r="AQ732" i="3"/>
  <c r="AO732" i="3"/>
  <c r="AP732" i="3" s="1"/>
  <c r="AK732" i="3"/>
  <c r="AL732" i="3"/>
  <c r="AM732" i="3"/>
  <c r="AN732" i="3"/>
  <c r="AU732" i="3"/>
  <c r="AV732" i="3" s="1"/>
  <c r="AW732" i="3" s="1"/>
  <c r="AX732" i="3"/>
  <c r="AY732" i="3" s="1"/>
  <c r="AZ732" i="3" s="1"/>
  <c r="BA732" i="3"/>
  <c r="AQ733" i="3"/>
  <c r="AO733" i="3"/>
  <c r="AP733" i="3" s="1"/>
  <c r="AK733" i="3"/>
  <c r="AL733" i="3"/>
  <c r="AM733" i="3"/>
  <c r="AN733" i="3"/>
  <c r="AU733" i="3"/>
  <c r="AV733" i="3"/>
  <c r="AW733" i="3" s="1"/>
  <c r="AX733" i="3"/>
  <c r="AY733" i="3" s="1"/>
  <c r="AZ733" i="3" s="1"/>
  <c r="BA733" i="3"/>
  <c r="AQ734" i="3"/>
  <c r="AO734" i="3"/>
  <c r="AP734" i="3" s="1"/>
  <c r="AR734" i="3" s="1"/>
  <c r="AS734" i="3" s="1"/>
  <c r="AT734" i="3" s="1"/>
  <c r="B734" i="3" s="1"/>
  <c r="AK734" i="3"/>
  <c r="AL734" i="3"/>
  <c r="AM734" i="3"/>
  <c r="AN734" i="3"/>
  <c r="AU734" i="3"/>
  <c r="AV734" i="3"/>
  <c r="AW734" i="3" s="1"/>
  <c r="AX734" i="3"/>
  <c r="AY734" i="3" s="1"/>
  <c r="BA734" i="3"/>
  <c r="AQ735" i="3"/>
  <c r="AO735" i="3"/>
  <c r="AP735" i="3" s="1"/>
  <c r="AK735" i="3"/>
  <c r="AL735" i="3"/>
  <c r="AM735" i="3"/>
  <c r="AN735" i="3"/>
  <c r="AU735" i="3"/>
  <c r="AV735" i="3" s="1"/>
  <c r="AW735" i="3" s="1"/>
  <c r="AX735" i="3"/>
  <c r="AY735" i="3" s="1"/>
  <c r="AQ736" i="3"/>
  <c r="AO736" i="3"/>
  <c r="AP736" i="3" s="1"/>
  <c r="AK736" i="3"/>
  <c r="AL736" i="3"/>
  <c r="AM736" i="3"/>
  <c r="AN736" i="3"/>
  <c r="AU736" i="3"/>
  <c r="AV736" i="3" s="1"/>
  <c r="AW736" i="3" s="1"/>
  <c r="AX736" i="3"/>
  <c r="AY736" i="3" s="1"/>
  <c r="AZ736" i="3" s="1"/>
  <c r="E3" i="2"/>
  <c r="E4" i="2"/>
  <c r="E5" i="2"/>
  <c r="E6" i="2"/>
  <c r="E7" i="2"/>
  <c r="E8" i="2"/>
  <c r="E9" i="2"/>
  <c r="E10" i="2"/>
  <c r="E11" i="2"/>
  <c r="E12" i="2"/>
  <c r="E13" i="2"/>
  <c r="E14" i="2"/>
  <c r="H29" i="1"/>
  <c r="AR683" i="3" l="1"/>
  <c r="AR681" i="3"/>
  <c r="AS681" i="3" s="1"/>
  <c r="AT681" i="3" s="1"/>
  <c r="B681" i="3" s="1"/>
  <c r="AR679" i="3"/>
  <c r="AR677" i="3"/>
  <c r="AR675" i="3"/>
  <c r="AR625" i="3"/>
  <c r="AS625" i="3" s="1"/>
  <c r="AT625" i="3" s="1"/>
  <c r="B625" i="3" s="1"/>
  <c r="AR623" i="3"/>
  <c r="AS623" i="3" s="1"/>
  <c r="AT623" i="3" s="1"/>
  <c r="B623" i="3" s="1"/>
  <c r="AR621" i="3"/>
  <c r="AR525" i="3"/>
  <c r="AR319" i="3"/>
  <c r="AR720" i="3"/>
  <c r="AS720" i="3" s="1"/>
  <c r="AT720" i="3" s="1"/>
  <c r="B720" i="3" s="1"/>
  <c r="AR671" i="3"/>
  <c r="AR667" i="3"/>
  <c r="AS594" i="3"/>
  <c r="AT594" i="3" s="1"/>
  <c r="B594" i="3" s="1"/>
  <c r="AR578" i="3"/>
  <c r="AS578" i="3" s="1"/>
  <c r="AT578" i="3" s="1"/>
  <c r="B578" i="3" s="1"/>
  <c r="AR576" i="3"/>
  <c r="AR542" i="3"/>
  <c r="AS542" i="3" s="1"/>
  <c r="AT542" i="3" s="1"/>
  <c r="B542" i="3" s="1"/>
  <c r="AR511" i="3"/>
  <c r="AS511" i="3" s="1"/>
  <c r="AT511" i="3" s="1"/>
  <c r="B511" i="3" s="1"/>
  <c r="AR507" i="3"/>
  <c r="AR505" i="3"/>
  <c r="AR462" i="3"/>
  <c r="AR437" i="3"/>
  <c r="AS437" i="3" s="1"/>
  <c r="AT437" i="3" s="1"/>
  <c r="B437" i="3" s="1"/>
  <c r="AZ322" i="3"/>
  <c r="AR262" i="3"/>
  <c r="AS262" i="3" s="1"/>
  <c r="AT262" i="3" s="1"/>
  <c r="B262" i="3" s="1"/>
  <c r="AR121" i="3"/>
  <c r="I180" i="1"/>
  <c r="F180" i="1"/>
  <c r="D185" i="1"/>
  <c r="I130" i="1"/>
  <c r="AR315" i="3"/>
  <c r="AR624" i="3"/>
  <c r="AS624" i="3" s="1"/>
  <c r="AT624" i="3" s="1"/>
  <c r="B624" i="3" s="1"/>
  <c r="AR622" i="3"/>
  <c r="AS622" i="3" s="1"/>
  <c r="AT622" i="3" s="1"/>
  <c r="B622" i="3" s="1"/>
  <c r="AR620" i="3"/>
  <c r="AR593" i="3"/>
  <c r="AR587" i="3"/>
  <c r="AR518" i="3"/>
  <c r="AS518" i="3" s="1"/>
  <c r="AT518" i="3" s="1"/>
  <c r="B518" i="3" s="1"/>
  <c r="AR471" i="3"/>
  <c r="AS471" i="3" s="1"/>
  <c r="AT471" i="3" s="1"/>
  <c r="B471" i="3" s="1"/>
  <c r="AR469" i="3"/>
  <c r="AS469" i="3" s="1"/>
  <c r="AT469" i="3" s="1"/>
  <c r="B469" i="3" s="1"/>
  <c r="AR409" i="3"/>
  <c r="AS409" i="3" s="1"/>
  <c r="AT409" i="3" s="1"/>
  <c r="B409" i="3" s="1"/>
  <c r="AR373" i="3"/>
  <c r="AR352" i="3"/>
  <c r="AR350" i="3"/>
  <c r="AS350" i="3" s="1"/>
  <c r="AT350" i="3" s="1"/>
  <c r="B350" i="3" s="1"/>
  <c r="AR334" i="3"/>
  <c r="AS334" i="3" s="1"/>
  <c r="AT334" i="3" s="1"/>
  <c r="AR329" i="3"/>
  <c r="AR316" i="3"/>
  <c r="AS316" i="3" s="1"/>
  <c r="AT316" i="3" s="1"/>
  <c r="AR306" i="3"/>
  <c r="AS306" i="3" s="1"/>
  <c r="AT306" i="3" s="1"/>
  <c r="AR148" i="3"/>
  <c r="AS148" i="3" s="1"/>
  <c r="AT148" i="3" s="1"/>
  <c r="B148" i="3" s="1"/>
  <c r="AR144" i="3"/>
  <c r="AR142" i="3"/>
  <c r="AR726" i="3"/>
  <c r="AR606" i="3"/>
  <c r="AS606" i="3" s="1"/>
  <c r="AT606" i="3" s="1"/>
  <c r="B606" i="3" s="1"/>
  <c r="AR604" i="3"/>
  <c r="AR581" i="3"/>
  <c r="AS581" i="3" s="1"/>
  <c r="AT581" i="3" s="1"/>
  <c r="B581" i="3" s="1"/>
  <c r="AR579" i="3"/>
  <c r="AR575" i="3"/>
  <c r="AS575" i="3" s="1"/>
  <c r="AT575" i="3" s="1"/>
  <c r="B575" i="3" s="1"/>
  <c r="AR543" i="3"/>
  <c r="AS543" i="3" s="1"/>
  <c r="AT543" i="3" s="1"/>
  <c r="B543" i="3" s="1"/>
  <c r="AR512" i="3"/>
  <c r="AS512" i="3" s="1"/>
  <c r="AT512" i="3" s="1"/>
  <c r="B512" i="3" s="1"/>
  <c r="AZ426" i="3"/>
  <c r="AR408" i="3"/>
  <c r="AS408" i="3" s="1"/>
  <c r="AT408" i="3" s="1"/>
  <c r="B408" i="3" s="1"/>
  <c r="AZ396" i="3"/>
  <c r="AR393" i="3"/>
  <c r="AZ389" i="3"/>
  <c r="AR307" i="3"/>
  <c r="AS307" i="3" s="1"/>
  <c r="AT307" i="3" s="1"/>
  <c r="B25" i="5"/>
  <c r="E25" i="5" s="1"/>
  <c r="AS659" i="3"/>
  <c r="AT659" i="3" s="1"/>
  <c r="B659" i="3" s="1"/>
  <c r="AR703" i="3"/>
  <c r="AS703" i="3" s="1"/>
  <c r="AT703" i="3" s="1"/>
  <c r="B703" i="3" s="1"/>
  <c r="AR686" i="3"/>
  <c r="AR663" i="3"/>
  <c r="AS663" i="3" s="1"/>
  <c r="AT663" i="3" s="1"/>
  <c r="B663" i="3" s="1"/>
  <c r="AR646" i="3"/>
  <c r="AS646" i="3" s="1"/>
  <c r="AT646" i="3" s="1"/>
  <c r="B646" i="3" s="1"/>
  <c r="AR616" i="3"/>
  <c r="AS616" i="3" s="1"/>
  <c r="AT616" i="3" s="1"/>
  <c r="B616" i="3" s="1"/>
  <c r="AR592" i="3"/>
  <c r="AR590" i="3"/>
  <c r="AR538" i="3"/>
  <c r="AS538" i="3" s="1"/>
  <c r="AT538" i="3" s="1"/>
  <c r="B538" i="3" s="1"/>
  <c r="AR523" i="3"/>
  <c r="AR514" i="3"/>
  <c r="AS514" i="3" s="1"/>
  <c r="AT514" i="3" s="1"/>
  <c r="B514" i="3" s="1"/>
  <c r="AR466" i="3"/>
  <c r="AR455" i="3"/>
  <c r="AS455" i="3" s="1"/>
  <c r="AT455" i="3" s="1"/>
  <c r="B455" i="3" s="1"/>
  <c r="AZ427" i="3"/>
  <c r="AR427" i="3"/>
  <c r="AR418" i="3"/>
  <c r="AZ404" i="3"/>
  <c r="AZ386" i="3"/>
  <c r="AR378" i="3"/>
  <c r="AS378" i="3" s="1"/>
  <c r="AT378" i="3" s="1"/>
  <c r="B378" i="3" s="1"/>
  <c r="AR362" i="3"/>
  <c r="AS362" i="3" s="1"/>
  <c r="AT362" i="3" s="1"/>
  <c r="B362" i="3" s="1"/>
  <c r="AZ347" i="3"/>
  <c r="AR342" i="3"/>
  <c r="AS342" i="3" s="1"/>
  <c r="AT342" i="3" s="1"/>
  <c r="B342" i="3" s="1"/>
  <c r="AZ310" i="3"/>
  <c r="AR124" i="3"/>
  <c r="AS124" i="3" s="1"/>
  <c r="AT124" i="3" s="1"/>
  <c r="B124" i="3" s="1"/>
  <c r="AR122" i="3"/>
  <c r="AR731" i="3"/>
  <c r="AR724" i="3"/>
  <c r="AS724" i="3" s="1"/>
  <c r="AT724" i="3" s="1"/>
  <c r="B724" i="3" s="1"/>
  <c r="AR693" i="3"/>
  <c r="AR642" i="3"/>
  <c r="AS642" i="3" s="1"/>
  <c r="AT642" i="3" s="1"/>
  <c r="B642" i="3" s="1"/>
  <c r="AR640" i="3"/>
  <c r="AS640" i="3" s="1"/>
  <c r="AT640" i="3" s="1"/>
  <c r="B640" i="3" s="1"/>
  <c r="AR608" i="3"/>
  <c r="AR534" i="3"/>
  <c r="AS534" i="3" s="1"/>
  <c r="AT534" i="3" s="1"/>
  <c r="B534" i="3" s="1"/>
  <c r="AR532" i="3"/>
  <c r="AS532" i="3" s="1"/>
  <c r="AT532" i="3" s="1"/>
  <c r="B532" i="3" s="1"/>
  <c r="AR530" i="3"/>
  <c r="AS530" i="3" s="1"/>
  <c r="AT530" i="3" s="1"/>
  <c r="B530" i="3" s="1"/>
  <c r="AR519" i="3"/>
  <c r="AS519" i="3" s="1"/>
  <c r="AT519" i="3" s="1"/>
  <c r="B519" i="3" s="1"/>
  <c r="AR508" i="3"/>
  <c r="AR504" i="3"/>
  <c r="AS504" i="3" s="1"/>
  <c r="AT504" i="3" s="1"/>
  <c r="B504" i="3" s="1"/>
  <c r="AR477" i="3"/>
  <c r="AS477" i="3" s="1"/>
  <c r="AT477" i="3" s="1"/>
  <c r="B477" i="3" s="1"/>
  <c r="AR426" i="3"/>
  <c r="AR417" i="3"/>
  <c r="AS417" i="3" s="1"/>
  <c r="AT417" i="3" s="1"/>
  <c r="B417" i="3" s="1"/>
  <c r="AZ409" i="3"/>
  <c r="AR407" i="3"/>
  <c r="AZ353" i="3"/>
  <c r="AZ338" i="3"/>
  <c r="AR322" i="3"/>
  <c r="AS322" i="3" s="1"/>
  <c r="AT322" i="3" s="1"/>
  <c r="AR94" i="3"/>
  <c r="AS94" i="3" s="1"/>
  <c r="AT94" i="3" s="1"/>
  <c r="B94" i="3" s="1"/>
  <c r="AR557" i="3"/>
  <c r="AR555" i="3"/>
  <c r="AR553" i="3"/>
  <c r="AS553" i="3" s="1"/>
  <c r="AT553" i="3" s="1"/>
  <c r="B553" i="3" s="1"/>
  <c r="AR551" i="3"/>
  <c r="AS551" i="3" s="1"/>
  <c r="AT551" i="3" s="1"/>
  <c r="B551" i="3" s="1"/>
  <c r="AR451" i="3"/>
  <c r="AR398" i="3"/>
  <c r="AS398" i="3" s="1"/>
  <c r="AT398" i="3" s="1"/>
  <c r="B398" i="3" s="1"/>
  <c r="AR379" i="3"/>
  <c r="AS379" i="3" s="1"/>
  <c r="AT379" i="3" s="1"/>
  <c r="B379" i="3" s="1"/>
  <c r="AR369" i="3"/>
  <c r="AS369" i="3" s="1"/>
  <c r="AT369" i="3" s="1"/>
  <c r="B369" i="3" s="1"/>
  <c r="AR366" i="3"/>
  <c r="AS366" i="3" s="1"/>
  <c r="AT366" i="3" s="1"/>
  <c r="B366" i="3" s="1"/>
  <c r="AR358" i="3"/>
  <c r="AS358" i="3" s="1"/>
  <c r="AT358" i="3" s="1"/>
  <c r="B358" i="3" s="1"/>
  <c r="AR324" i="3"/>
  <c r="AR92" i="3"/>
  <c r="AS92" i="3" s="1"/>
  <c r="AT92" i="3" s="1"/>
  <c r="B92" i="3" s="1"/>
  <c r="AR88" i="3"/>
  <c r="AR52" i="3"/>
  <c r="AS52" i="3" s="1"/>
  <c r="AT52" i="3" s="1"/>
  <c r="B52" i="3" s="1"/>
  <c r="AR44" i="3"/>
  <c r="AS44" i="3" s="1"/>
  <c r="AT44" i="3" s="1"/>
  <c r="B44" i="3" s="1"/>
  <c r="AR42" i="3"/>
  <c r="AS42" i="3" s="1"/>
  <c r="AT42" i="3" s="1"/>
  <c r="B42" i="3" s="1"/>
  <c r="AZ346" i="3"/>
  <c r="AS255" i="3"/>
  <c r="AT255" i="3" s="1"/>
  <c r="B255" i="3" s="1"/>
  <c r="B50" i="4"/>
  <c r="E50" i="4" s="1"/>
  <c r="AZ402" i="3"/>
  <c r="AR317" i="3"/>
  <c r="AR300" i="3"/>
  <c r="AS300" i="3" s="1"/>
  <c r="AT300" i="3" s="1"/>
  <c r="AS279" i="3"/>
  <c r="AT279" i="3" s="1"/>
  <c r="B279" i="3" s="1"/>
  <c r="AS182" i="3"/>
  <c r="AT182" i="3" s="1"/>
  <c r="B182" i="3" s="1"/>
  <c r="B27" i="5"/>
  <c r="E27" i="5" s="1"/>
  <c r="AR702" i="3"/>
  <c r="AS702" i="3" s="1"/>
  <c r="AT702" i="3" s="1"/>
  <c r="B702" i="3" s="1"/>
  <c r="AR447" i="3"/>
  <c r="AZ406" i="3"/>
  <c r="AZ381" i="3"/>
  <c r="AR301" i="3"/>
  <c r="AS301" i="3" s="1"/>
  <c r="AT301" i="3" s="1"/>
  <c r="AZ293" i="3"/>
  <c r="B26" i="4"/>
  <c r="E26" i="4" s="1"/>
  <c r="AR729" i="3"/>
  <c r="AR727" i="3"/>
  <c r="AR690" i="3"/>
  <c r="AR583" i="3"/>
  <c r="AS583" i="3" s="1"/>
  <c r="AT583" i="3" s="1"/>
  <c r="B583" i="3" s="1"/>
  <c r="AR572" i="3"/>
  <c r="AR568" i="3"/>
  <c r="AR564" i="3"/>
  <c r="AS564" i="3" s="1"/>
  <c r="AT564" i="3" s="1"/>
  <c r="B564" i="3" s="1"/>
  <c r="AR562" i="3"/>
  <c r="AS562" i="3" s="1"/>
  <c r="AT562" i="3" s="1"/>
  <c r="B562" i="3" s="1"/>
  <c r="AR560" i="3"/>
  <c r="AS560" i="3" s="1"/>
  <c r="AT560" i="3" s="1"/>
  <c r="B560" i="3" s="1"/>
  <c r="AR558" i="3"/>
  <c r="AS558" i="3" s="1"/>
  <c r="AT558" i="3" s="1"/>
  <c r="B558" i="3" s="1"/>
  <c r="AR556" i="3"/>
  <c r="AS556" i="3" s="1"/>
  <c r="AT556" i="3" s="1"/>
  <c r="B556" i="3" s="1"/>
  <c r="AR552" i="3"/>
  <c r="AS552" i="3" s="1"/>
  <c r="AT552" i="3" s="1"/>
  <c r="B552" i="3" s="1"/>
  <c r="AR497" i="3"/>
  <c r="AR495" i="3"/>
  <c r="AS495" i="3" s="1"/>
  <c r="AT495" i="3" s="1"/>
  <c r="B495" i="3" s="1"/>
  <c r="AR493" i="3"/>
  <c r="AR491" i="3"/>
  <c r="AR472" i="3"/>
  <c r="AR450" i="3"/>
  <c r="AR424" i="3"/>
  <c r="AS424" i="3" s="1"/>
  <c r="AT424" i="3" s="1"/>
  <c r="B424" i="3" s="1"/>
  <c r="AR404" i="3"/>
  <c r="AS404" i="3" s="1"/>
  <c r="AT404" i="3" s="1"/>
  <c r="B404" i="3" s="1"/>
  <c r="AR367" i="3"/>
  <c r="AS367" i="3" s="1"/>
  <c r="AT367" i="3" s="1"/>
  <c r="B367" i="3" s="1"/>
  <c r="AR361" i="3"/>
  <c r="AS361" i="3" s="1"/>
  <c r="AT361" i="3" s="1"/>
  <c r="B361" i="3" s="1"/>
  <c r="AR356" i="3"/>
  <c r="AS356" i="3" s="1"/>
  <c r="AT356" i="3" s="1"/>
  <c r="B356" i="3" s="1"/>
  <c r="AR326" i="3"/>
  <c r="AS326" i="3" s="1"/>
  <c r="AT326" i="3" s="1"/>
  <c r="AZ321" i="3"/>
  <c r="AR302" i="3"/>
  <c r="AR164" i="3"/>
  <c r="AS164" i="3" s="1"/>
  <c r="AT164" i="3" s="1"/>
  <c r="B164" i="3" s="1"/>
  <c r="AR156" i="3"/>
  <c r="AS156" i="3" s="1"/>
  <c r="AT156" i="3" s="1"/>
  <c r="B156" i="3" s="1"/>
  <c r="AR67" i="3"/>
  <c r="AR65" i="3"/>
  <c r="AR63" i="3"/>
  <c r="AS63" i="3" s="1"/>
  <c r="AT63" i="3" s="1"/>
  <c r="B63" i="3" s="1"/>
  <c r="AR59" i="3"/>
  <c r="AS59" i="3" s="1"/>
  <c r="AT59" i="3" s="1"/>
  <c r="B59" i="3" s="1"/>
  <c r="AR55" i="3"/>
  <c r="AS55" i="3" s="1"/>
  <c r="AT55" i="3" s="1"/>
  <c r="B55" i="3" s="1"/>
  <c r="AR33" i="3"/>
  <c r="AS33" i="3" s="1"/>
  <c r="AT33" i="3" s="1"/>
  <c r="B33" i="3" s="1"/>
  <c r="AR31" i="3"/>
  <c r="AS31" i="3" s="1"/>
  <c r="AT31" i="3" s="1"/>
  <c r="B31" i="3" s="1"/>
  <c r="AR27" i="3"/>
  <c r="AS27" i="3" s="1"/>
  <c r="AT27" i="3" s="1"/>
  <c r="B27" i="3" s="1"/>
  <c r="AR23" i="3"/>
  <c r="AS23" i="3" s="1"/>
  <c r="AT23" i="3" s="1"/>
  <c r="B23" i="3" s="1"/>
  <c r="AR181" i="3"/>
  <c r="AS181" i="3" s="1"/>
  <c r="AT181" i="3" s="1"/>
  <c r="B181" i="3" s="1"/>
  <c r="AS621" i="3"/>
  <c r="AT621" i="3" s="1"/>
  <c r="B621" i="3" s="1"/>
  <c r="AS576" i="3"/>
  <c r="AT576" i="3" s="1"/>
  <c r="B576" i="3" s="1"/>
  <c r="AZ725" i="3"/>
  <c r="AR701" i="3"/>
  <c r="AS701" i="3" s="1"/>
  <c r="AT701" i="3" s="1"/>
  <c r="B701" i="3" s="1"/>
  <c r="AR660" i="3"/>
  <c r="AR630" i="3"/>
  <c r="AS630" i="3" s="1"/>
  <c r="AT630" i="3" s="1"/>
  <c r="B630" i="3" s="1"/>
  <c r="AR617" i="3"/>
  <c r="AS617" i="3" s="1"/>
  <c r="AT617" i="3" s="1"/>
  <c r="B617" i="3" s="1"/>
  <c r="AR573" i="3"/>
  <c r="AR569" i="3"/>
  <c r="AS569" i="3" s="1"/>
  <c r="AT569" i="3" s="1"/>
  <c r="B569" i="3" s="1"/>
  <c r="AR554" i="3"/>
  <c r="AS554" i="3" s="1"/>
  <c r="AT554" i="3" s="1"/>
  <c r="B554" i="3" s="1"/>
  <c r="AR541" i="3"/>
  <c r="AR527" i="3"/>
  <c r="AS527" i="3" s="1"/>
  <c r="AT527" i="3" s="1"/>
  <c r="B527" i="3" s="1"/>
  <c r="AR465" i="3"/>
  <c r="AS465" i="3" s="1"/>
  <c r="AT465" i="3" s="1"/>
  <c r="B465" i="3" s="1"/>
  <c r="AR440" i="3"/>
  <c r="AS440" i="3" s="1"/>
  <c r="AT440" i="3" s="1"/>
  <c r="B440" i="3" s="1"/>
  <c r="AZ430" i="3"/>
  <c r="AZ423" i="3"/>
  <c r="AR423" i="3"/>
  <c r="AS423" i="3" s="1"/>
  <c r="AT423" i="3" s="1"/>
  <c r="B423" i="3" s="1"/>
  <c r="AR412" i="3"/>
  <c r="AS412" i="3" s="1"/>
  <c r="AT412" i="3" s="1"/>
  <c r="B412" i="3" s="1"/>
  <c r="AR382" i="3"/>
  <c r="AS382" i="3" s="1"/>
  <c r="AT382" i="3" s="1"/>
  <c r="B382" i="3" s="1"/>
  <c r="AR370" i="3"/>
  <c r="AS370" i="3" s="1"/>
  <c r="AT370" i="3" s="1"/>
  <c r="B370" i="3" s="1"/>
  <c r="AR354" i="3"/>
  <c r="AS354" i="3" s="1"/>
  <c r="AT354" i="3" s="1"/>
  <c r="B354" i="3" s="1"/>
  <c r="AR343" i="3"/>
  <c r="AS343" i="3" s="1"/>
  <c r="AT343" i="3" s="1"/>
  <c r="B343" i="3" s="1"/>
  <c r="AR277" i="3"/>
  <c r="AS277" i="3" s="1"/>
  <c r="AT277" i="3" s="1"/>
  <c r="B277" i="3" s="1"/>
  <c r="AS173" i="3"/>
  <c r="AT173" i="3" s="1"/>
  <c r="B173" i="3" s="1"/>
  <c r="AR132" i="3"/>
  <c r="AS132" i="3" s="1"/>
  <c r="AT132" i="3" s="1"/>
  <c r="B132" i="3" s="1"/>
  <c r="AR130" i="3"/>
  <c r="AS130" i="3" s="1"/>
  <c r="AT130" i="3" s="1"/>
  <c r="B130" i="3" s="1"/>
  <c r="AR115" i="3"/>
  <c r="AR109" i="3"/>
  <c r="AS109" i="3" s="1"/>
  <c r="AT109" i="3" s="1"/>
  <c r="B109" i="3" s="1"/>
  <c r="AR99" i="3"/>
  <c r="AR74" i="3"/>
  <c r="AS74" i="3" s="1"/>
  <c r="AT74" i="3" s="1"/>
  <c r="B74" i="3" s="1"/>
  <c r="AR19" i="3"/>
  <c r="AS19" i="3" s="1"/>
  <c r="AT19" i="3" s="1"/>
  <c r="B19" i="3" s="1"/>
  <c r="AS488" i="3"/>
  <c r="AT488" i="3" s="1"/>
  <c r="B488" i="3" s="1"/>
  <c r="AZ728" i="3"/>
  <c r="AR680" i="3"/>
  <c r="AS680" i="3" s="1"/>
  <c r="AT680" i="3" s="1"/>
  <c r="B680" i="3" s="1"/>
  <c r="AS667" i="3"/>
  <c r="AT667" i="3" s="1"/>
  <c r="B667" i="3" s="1"/>
  <c r="AR647" i="3"/>
  <c r="AS647" i="3" s="1"/>
  <c r="AT647" i="3" s="1"/>
  <c r="B647" i="3" s="1"/>
  <c r="AR645" i="3"/>
  <c r="AR584" i="3"/>
  <c r="AR563" i="3"/>
  <c r="AR561" i="3"/>
  <c r="AR559" i="3"/>
  <c r="AS559" i="3" s="1"/>
  <c r="AT559" i="3" s="1"/>
  <c r="B559" i="3" s="1"/>
  <c r="AR539" i="3"/>
  <c r="AS539" i="3" s="1"/>
  <c r="AT539" i="3" s="1"/>
  <c r="B539" i="3" s="1"/>
  <c r="AR537" i="3"/>
  <c r="AS537" i="3" s="1"/>
  <c r="AT537" i="3" s="1"/>
  <c r="B537" i="3" s="1"/>
  <c r="AR494" i="3"/>
  <c r="AS494" i="3" s="1"/>
  <c r="AT494" i="3" s="1"/>
  <c r="B494" i="3" s="1"/>
  <c r="AR479" i="3"/>
  <c r="AS479" i="3" s="1"/>
  <c r="AT479" i="3" s="1"/>
  <c r="B479" i="3" s="1"/>
  <c r="AR456" i="3"/>
  <c r="AZ403" i="3"/>
  <c r="AR364" i="3"/>
  <c r="AZ340" i="3"/>
  <c r="AR336" i="3"/>
  <c r="AS336" i="3" s="1"/>
  <c r="AT336" i="3" s="1"/>
  <c r="B336" i="3" s="1"/>
  <c r="AZ331" i="3"/>
  <c r="AZ311" i="3"/>
  <c r="AR284" i="3"/>
  <c r="AR282" i="3"/>
  <c r="AR280" i="3"/>
  <c r="AR237" i="3"/>
  <c r="AR126" i="3"/>
  <c r="AS126" i="3" s="1"/>
  <c r="AT126" i="3" s="1"/>
  <c r="B126" i="3" s="1"/>
  <c r="AR95" i="3"/>
  <c r="AS95" i="3" s="1"/>
  <c r="AT95" i="3" s="1"/>
  <c r="B95" i="3" s="1"/>
  <c r="AR93" i="3"/>
  <c r="AR68" i="3"/>
  <c r="AS68" i="3" s="1"/>
  <c r="AT68" i="3" s="1"/>
  <c r="B68" i="3" s="1"/>
  <c r="AR7" i="3"/>
  <c r="AR688" i="3"/>
  <c r="AS688" i="3" s="1"/>
  <c r="AT688" i="3" s="1"/>
  <c r="B688" i="3" s="1"/>
  <c r="AR658" i="3"/>
  <c r="AS658" i="3" s="1"/>
  <c r="AT658" i="3" s="1"/>
  <c r="B658" i="3" s="1"/>
  <c r="AR516" i="3"/>
  <c r="AR513" i="3"/>
  <c r="AS513" i="3" s="1"/>
  <c r="AT513" i="3" s="1"/>
  <c r="B513" i="3" s="1"/>
  <c r="AZ411" i="3"/>
  <c r="AR490" i="3"/>
  <c r="AS490" i="3" s="1"/>
  <c r="AT490" i="3" s="1"/>
  <c r="B490" i="3" s="1"/>
  <c r="AR473" i="3"/>
  <c r="AS473" i="3" s="1"/>
  <c r="AT473" i="3" s="1"/>
  <c r="B473" i="3" s="1"/>
  <c r="AR452" i="3"/>
  <c r="AS452" i="3" s="1"/>
  <c r="AT452" i="3" s="1"/>
  <c r="B452" i="3" s="1"/>
  <c r="AR425" i="3"/>
  <c r="AS425" i="3" s="1"/>
  <c r="AT425" i="3" s="1"/>
  <c r="B425" i="3" s="1"/>
  <c r="AZ418" i="3"/>
  <c r="AZ399" i="3"/>
  <c r="AR736" i="3"/>
  <c r="AS736" i="3" s="1"/>
  <c r="AT736" i="3" s="1"/>
  <c r="B736" i="3" s="1"/>
  <c r="AR735" i="3"/>
  <c r="AR732" i="3"/>
  <c r="AR670" i="3"/>
  <c r="AS670" i="3" s="1"/>
  <c r="AT670" i="3" s="1"/>
  <c r="B670" i="3" s="1"/>
  <c r="AR668" i="3"/>
  <c r="AR656" i="3"/>
  <c r="AS656" i="3" s="1"/>
  <c r="AT656" i="3" s="1"/>
  <c r="B656" i="3" s="1"/>
  <c r="AR654" i="3"/>
  <c r="AR650" i="3"/>
  <c r="AR637" i="3"/>
  <c r="AS637" i="3" s="1"/>
  <c r="AT637" i="3" s="1"/>
  <c r="B637" i="3" s="1"/>
  <c r="AR633" i="3"/>
  <c r="AS620" i="3"/>
  <c r="AT620" i="3" s="1"/>
  <c r="B620" i="3" s="1"/>
  <c r="AR603" i="3"/>
  <c r="AR591" i="3"/>
  <c r="AS591" i="3" s="1"/>
  <c r="AT591" i="3" s="1"/>
  <c r="B591" i="3" s="1"/>
  <c r="AS557" i="3"/>
  <c r="AT557" i="3" s="1"/>
  <c r="B557" i="3" s="1"/>
  <c r="AR501" i="3"/>
  <c r="AS501" i="3" s="1"/>
  <c r="AT501" i="3" s="1"/>
  <c r="B501" i="3" s="1"/>
  <c r="AR436" i="3"/>
  <c r="AS436" i="3" s="1"/>
  <c r="AT436" i="3" s="1"/>
  <c r="B436" i="3" s="1"/>
  <c r="AR432" i="3"/>
  <c r="AS432" i="3" s="1"/>
  <c r="AT432" i="3" s="1"/>
  <c r="B432" i="3" s="1"/>
  <c r="AZ422" i="3"/>
  <c r="AR420" i="3"/>
  <c r="AS420" i="3" s="1"/>
  <c r="AT420" i="3" s="1"/>
  <c r="B420" i="3" s="1"/>
  <c r="AR392" i="3"/>
  <c r="AS392" i="3" s="1"/>
  <c r="AT392" i="3" s="1"/>
  <c r="B392" i="3" s="1"/>
  <c r="AR387" i="3"/>
  <c r="AR383" i="3"/>
  <c r="AS383" i="3" s="1"/>
  <c r="AT383" i="3" s="1"/>
  <c r="B383" i="3" s="1"/>
  <c r="AR372" i="3"/>
  <c r="AZ369" i="3"/>
  <c r="AZ366" i="3"/>
  <c r="AR365" i="3"/>
  <c r="AS365" i="3" s="1"/>
  <c r="AT365" i="3" s="1"/>
  <c r="B365" i="3" s="1"/>
  <c r="AR346" i="3"/>
  <c r="AZ339" i="3"/>
  <c r="AZ312" i="3"/>
  <c r="AR310" i="3"/>
  <c r="AS310" i="3" s="1"/>
  <c r="AT310" i="3" s="1"/>
  <c r="AR257" i="3"/>
  <c r="AR225" i="3"/>
  <c r="AR87" i="3"/>
  <c r="AS87" i="3" s="1"/>
  <c r="AT87" i="3" s="1"/>
  <c r="B87" i="3" s="1"/>
  <c r="AR83" i="3"/>
  <c r="AS83" i="3" s="1"/>
  <c r="AT83" i="3" s="1"/>
  <c r="B83" i="3" s="1"/>
  <c r="B62" i="5"/>
  <c r="E62" i="5" s="1"/>
  <c r="B51" i="4"/>
  <c r="E51" i="4" s="1"/>
  <c r="AS516" i="3"/>
  <c r="AT516" i="3" s="1"/>
  <c r="B516" i="3" s="1"/>
  <c r="AZ414" i="3"/>
  <c r="AR413" i="3"/>
  <c r="AS413" i="3" s="1"/>
  <c r="AT413" i="3" s="1"/>
  <c r="B413" i="3" s="1"/>
  <c r="AR401" i="3"/>
  <c r="AS401" i="3" s="1"/>
  <c r="AT401" i="3" s="1"/>
  <c r="B401" i="3" s="1"/>
  <c r="AZ388" i="3"/>
  <c r="AR386" i="3"/>
  <c r="AR357" i="3"/>
  <c r="AR351" i="3"/>
  <c r="AZ334" i="3"/>
  <c r="AS324" i="3"/>
  <c r="AT324" i="3" s="1"/>
  <c r="AZ301" i="3"/>
  <c r="AR270" i="3"/>
  <c r="AS270" i="3" s="1"/>
  <c r="AT270" i="3" s="1"/>
  <c r="B270" i="3" s="1"/>
  <c r="AR242" i="3"/>
  <c r="AS242" i="3" s="1"/>
  <c r="AT242" i="3" s="1"/>
  <c r="B242" i="3" s="1"/>
  <c r="AR221" i="3"/>
  <c r="AS221" i="3" s="1"/>
  <c r="AT221" i="3" s="1"/>
  <c r="B221" i="3" s="1"/>
  <c r="AR219" i="3"/>
  <c r="AR213" i="3"/>
  <c r="AS213" i="3" s="1"/>
  <c r="AT213" i="3" s="1"/>
  <c r="B213" i="3" s="1"/>
  <c r="AR211" i="3"/>
  <c r="AS211" i="3" s="1"/>
  <c r="AT211" i="3" s="1"/>
  <c r="B211" i="3" s="1"/>
  <c r="AR166" i="3"/>
  <c r="AR96" i="3"/>
  <c r="AS96" i="3" s="1"/>
  <c r="AT96" i="3" s="1"/>
  <c r="B96" i="3" s="1"/>
  <c r="AR71" i="3"/>
  <c r="AS71" i="3" s="1"/>
  <c r="AT71" i="3" s="1"/>
  <c r="B71" i="3" s="1"/>
  <c r="AR18" i="3"/>
  <c r="AS18" i="3" s="1"/>
  <c r="AT18" i="3" s="1"/>
  <c r="B18" i="3" s="1"/>
  <c r="AR14" i="3"/>
  <c r="AS466" i="3"/>
  <c r="AT466" i="3" s="1"/>
  <c r="B466" i="3" s="1"/>
  <c r="AR338" i="3"/>
  <c r="AS166" i="3"/>
  <c r="AT166" i="3" s="1"/>
  <c r="B166" i="3" s="1"/>
  <c r="AZ357" i="3"/>
  <c r="AZ348" i="3"/>
  <c r="AR333" i="3"/>
  <c r="AS333" i="3" s="1"/>
  <c r="AT333" i="3" s="1"/>
  <c r="AR321" i="3"/>
  <c r="AS321" i="3" s="1"/>
  <c r="AT321" i="3" s="1"/>
  <c r="AR313" i="3"/>
  <c r="AS313" i="3" s="1"/>
  <c r="AT313" i="3" s="1"/>
  <c r="AS196" i="3"/>
  <c r="AT196" i="3" s="1"/>
  <c r="B196" i="3" s="1"/>
  <c r="AS729" i="3"/>
  <c r="AT729" i="3" s="1"/>
  <c r="B729" i="3" s="1"/>
  <c r="AR728" i="3"/>
  <c r="AS728" i="3" s="1"/>
  <c r="AT728" i="3" s="1"/>
  <c r="B728" i="3" s="1"/>
  <c r="AR725" i="3"/>
  <c r="AS725" i="3" s="1"/>
  <c r="AT725" i="3" s="1"/>
  <c r="B725" i="3" s="1"/>
  <c r="AR722" i="3"/>
  <c r="AR719" i="3"/>
  <c r="AR696" i="3"/>
  <c r="AS696" i="3" s="1"/>
  <c r="AT696" i="3" s="1"/>
  <c r="B696" i="3" s="1"/>
  <c r="AR687" i="3"/>
  <c r="AS687" i="3" s="1"/>
  <c r="AT687" i="3" s="1"/>
  <c r="B687" i="3" s="1"/>
  <c r="AR662" i="3"/>
  <c r="AS662" i="3" s="1"/>
  <c r="AT662" i="3" s="1"/>
  <c r="B662" i="3" s="1"/>
  <c r="AR657" i="3"/>
  <c r="AR651" i="3"/>
  <c r="AR649" i="3"/>
  <c r="AR638" i="3"/>
  <c r="AR636" i="3"/>
  <c r="AS636" i="3" s="1"/>
  <c r="AT636" i="3" s="1"/>
  <c r="B636" i="3" s="1"/>
  <c r="AR634" i="3"/>
  <c r="AS634" i="3" s="1"/>
  <c r="AT634" i="3" s="1"/>
  <c r="B634" i="3" s="1"/>
  <c r="AR515" i="3"/>
  <c r="AR489" i="3"/>
  <c r="AS489" i="3" s="1"/>
  <c r="AT489" i="3" s="1"/>
  <c r="B489" i="3" s="1"/>
  <c r="AR467" i="3"/>
  <c r="AS453" i="3"/>
  <c r="AT453" i="3" s="1"/>
  <c r="B453" i="3" s="1"/>
  <c r="AR448" i="3"/>
  <c r="AS448" i="3" s="1"/>
  <c r="AT448" i="3" s="1"/>
  <c r="B448" i="3" s="1"/>
  <c r="AR395" i="3"/>
  <c r="AS395" i="3" s="1"/>
  <c r="AT395" i="3" s="1"/>
  <c r="B395" i="3" s="1"/>
  <c r="AR390" i="3"/>
  <c r="AS390" i="3" s="1"/>
  <c r="AT390" i="3" s="1"/>
  <c r="B390" i="3" s="1"/>
  <c r="AZ367" i="3"/>
  <c r="AZ356" i="3"/>
  <c r="AZ316" i="3"/>
  <c r="AZ315" i="3"/>
  <c r="AZ296" i="3"/>
  <c r="AR294" i="3"/>
  <c r="AS294" i="3" s="1"/>
  <c r="AT294" i="3" s="1"/>
  <c r="AR293" i="3"/>
  <c r="AS293" i="3" s="1"/>
  <c r="AT293" i="3" s="1"/>
  <c r="AR290" i="3"/>
  <c r="AS290" i="3" s="1"/>
  <c r="AT290" i="3" s="1"/>
  <c r="B290" i="3" s="1"/>
  <c r="AR245" i="3"/>
  <c r="AS245" i="3" s="1"/>
  <c r="AT245" i="3" s="1"/>
  <c r="B245" i="3" s="1"/>
  <c r="AR230" i="3"/>
  <c r="AS230" i="3" s="1"/>
  <c r="AT230" i="3" s="1"/>
  <c r="B230" i="3" s="1"/>
  <c r="AR228" i="3"/>
  <c r="AS228" i="3" s="1"/>
  <c r="AT228" i="3" s="1"/>
  <c r="B228" i="3" s="1"/>
  <c r="AR226" i="3"/>
  <c r="AR205" i="3"/>
  <c r="AS205" i="3" s="1"/>
  <c r="AT205" i="3" s="1"/>
  <c r="B205" i="3" s="1"/>
  <c r="AR203" i="3"/>
  <c r="AR187" i="3"/>
  <c r="AS187" i="3" s="1"/>
  <c r="AT187" i="3" s="1"/>
  <c r="B187" i="3" s="1"/>
  <c r="AR185" i="3"/>
  <c r="AS185" i="3" s="1"/>
  <c r="AT185" i="3" s="1"/>
  <c r="B185" i="3" s="1"/>
  <c r="AR178" i="3"/>
  <c r="AS178" i="3" s="1"/>
  <c r="AT178" i="3" s="1"/>
  <c r="B178" i="3" s="1"/>
  <c r="AS144" i="3"/>
  <c r="AT144" i="3" s="1"/>
  <c r="B144" i="3" s="1"/>
  <c r="AR140" i="3"/>
  <c r="AS140" i="3" s="1"/>
  <c r="AT140" i="3" s="1"/>
  <c r="B140" i="3" s="1"/>
  <c r="AR138" i="3"/>
  <c r="AR136" i="3"/>
  <c r="AS136" i="3" s="1"/>
  <c r="AT136" i="3" s="1"/>
  <c r="B136" i="3" s="1"/>
  <c r="AR134" i="3"/>
  <c r="AS88" i="3"/>
  <c r="AT88" i="3" s="1"/>
  <c r="B88" i="3" s="1"/>
  <c r="AR86" i="3"/>
  <c r="AS86" i="3" s="1"/>
  <c r="AT86" i="3" s="1"/>
  <c r="B86" i="3" s="1"/>
  <c r="AR80" i="3"/>
  <c r="AS80" i="3" s="1"/>
  <c r="AT80" i="3" s="1"/>
  <c r="B80" i="3" s="1"/>
  <c r="AR78" i="3"/>
  <c r="AR76" i="3"/>
  <c r="AS76" i="3" s="1"/>
  <c r="AT76" i="3" s="1"/>
  <c r="B76" i="3" s="1"/>
  <c r="AZ397" i="3"/>
  <c r="AS727" i="3"/>
  <c r="AT727" i="3" s="1"/>
  <c r="B727" i="3" s="1"/>
  <c r="AZ723" i="3"/>
  <c r="AR723" i="3"/>
  <c r="AS723" i="3" s="1"/>
  <c r="AT723" i="3" s="1"/>
  <c r="B723" i="3" s="1"/>
  <c r="AZ721" i="3"/>
  <c r="AR665" i="3"/>
  <c r="AS665" i="3" s="1"/>
  <c r="AT665" i="3" s="1"/>
  <c r="B665" i="3" s="1"/>
  <c r="AZ735" i="3"/>
  <c r="AR673" i="3"/>
  <c r="AR618" i="3"/>
  <c r="AS618" i="3" s="1"/>
  <c r="AT618" i="3" s="1"/>
  <c r="B618" i="3" s="1"/>
  <c r="AZ734" i="3"/>
  <c r="AR730" i="3"/>
  <c r="AS730" i="3" s="1"/>
  <c r="AT730" i="3" s="1"/>
  <c r="B730" i="3" s="1"/>
  <c r="AR695" i="3"/>
  <c r="AS695" i="3" s="1"/>
  <c r="AT695" i="3" s="1"/>
  <c r="B695" i="3" s="1"/>
  <c r="AS735" i="3"/>
  <c r="AT735" i="3" s="1"/>
  <c r="B735" i="3" s="1"/>
  <c r="AR709" i="3"/>
  <c r="AS709" i="3" s="1"/>
  <c r="AT709" i="3" s="1"/>
  <c r="B709" i="3" s="1"/>
  <c r="AR707" i="3"/>
  <c r="AR699" i="3"/>
  <c r="AR692" i="3"/>
  <c r="AS692" i="3" s="1"/>
  <c r="AT692" i="3" s="1"/>
  <c r="B692" i="3" s="1"/>
  <c r="AS689" i="3"/>
  <c r="AT689" i="3" s="1"/>
  <c r="B689" i="3" s="1"/>
  <c r="AS683" i="3"/>
  <c r="AT683" i="3" s="1"/>
  <c r="B683" i="3" s="1"/>
  <c r="AS493" i="3"/>
  <c r="AT493" i="3" s="1"/>
  <c r="B493" i="3" s="1"/>
  <c r="AS645" i="3"/>
  <c r="AT645" i="3" s="1"/>
  <c r="B645" i="3" s="1"/>
  <c r="AR632" i="3"/>
  <c r="AS632" i="3" s="1"/>
  <c r="AT632" i="3" s="1"/>
  <c r="B632" i="3" s="1"/>
  <c r="AR619" i="3"/>
  <c r="AR614" i="3"/>
  <c r="AS614" i="3" s="1"/>
  <c r="AT614" i="3" s="1"/>
  <c r="B614" i="3" s="1"/>
  <c r="AS593" i="3"/>
  <c r="AT593" i="3" s="1"/>
  <c r="B593" i="3" s="1"/>
  <c r="AZ729" i="3"/>
  <c r="AR721" i="3"/>
  <c r="AS721" i="3" s="1"/>
  <c r="AT721" i="3" s="1"/>
  <c r="B721" i="3" s="1"/>
  <c r="AS719" i="3"/>
  <c r="AT719" i="3" s="1"/>
  <c r="B719" i="3" s="1"/>
  <c r="AS685" i="3"/>
  <c r="AT685" i="3" s="1"/>
  <c r="B685" i="3" s="1"/>
  <c r="AS671" i="3"/>
  <c r="AT671" i="3" s="1"/>
  <c r="B671" i="3" s="1"/>
  <c r="AR669" i="3"/>
  <c r="AS669" i="3" s="1"/>
  <c r="AT669" i="3" s="1"/>
  <c r="B669" i="3" s="1"/>
  <c r="AS694" i="3"/>
  <c r="AT694" i="3" s="1"/>
  <c r="B694" i="3" s="1"/>
  <c r="AS697" i="3"/>
  <c r="AT697" i="3" s="1"/>
  <c r="B697" i="3" s="1"/>
  <c r="AS686" i="3"/>
  <c r="AT686" i="3" s="1"/>
  <c r="B686" i="3" s="1"/>
  <c r="AR682" i="3"/>
  <c r="AS682" i="3" s="1"/>
  <c r="AT682" i="3" s="1"/>
  <c r="B682" i="3" s="1"/>
  <c r="AS731" i="3"/>
  <c r="AT731" i="3" s="1"/>
  <c r="B731" i="3" s="1"/>
  <c r="AR715" i="3"/>
  <c r="AR713" i="3"/>
  <c r="AS713" i="3" s="1"/>
  <c r="AT713" i="3" s="1"/>
  <c r="B713" i="3" s="1"/>
  <c r="AS641" i="3"/>
  <c r="AT641" i="3" s="1"/>
  <c r="B641" i="3" s="1"/>
  <c r="AR597" i="3"/>
  <c r="AS597" i="3" s="1"/>
  <c r="AT597" i="3" s="1"/>
  <c r="B597" i="3" s="1"/>
  <c r="AR612" i="3"/>
  <c r="AR610" i="3"/>
  <c r="AR565" i="3"/>
  <c r="AS565" i="3" s="1"/>
  <c r="AT565" i="3" s="1"/>
  <c r="B565" i="3" s="1"/>
  <c r="AR499" i="3"/>
  <c r="AS499" i="3" s="1"/>
  <c r="AT499" i="3" s="1"/>
  <c r="B499" i="3" s="1"/>
  <c r="AR463" i="3"/>
  <c r="AS463" i="3" s="1"/>
  <c r="AT463" i="3" s="1"/>
  <c r="B463" i="3" s="1"/>
  <c r="AR439" i="3"/>
  <c r="AS439" i="3" s="1"/>
  <c r="AT439" i="3" s="1"/>
  <c r="B439" i="3" s="1"/>
  <c r="AZ398" i="3"/>
  <c r="AR381" i="3"/>
  <c r="AS381" i="3" s="1"/>
  <c r="AT381" i="3" s="1"/>
  <c r="B381" i="3" s="1"/>
  <c r="AR359" i="3"/>
  <c r="AS359" i="3" s="1"/>
  <c r="AT359" i="3" s="1"/>
  <c r="B359" i="3" s="1"/>
  <c r="AZ349" i="3"/>
  <c r="AZ341" i="3"/>
  <c r="AZ329" i="3"/>
  <c r="AS605" i="3"/>
  <c r="AT605" i="3" s="1"/>
  <c r="B605" i="3" s="1"/>
  <c r="AR550" i="3"/>
  <c r="AS550" i="3" s="1"/>
  <c r="AT550" i="3" s="1"/>
  <c r="B550" i="3" s="1"/>
  <c r="AR548" i="3"/>
  <c r="AR546" i="3"/>
  <c r="AR484" i="3"/>
  <c r="AR482" i="3"/>
  <c r="AS482" i="3" s="1"/>
  <c r="AT482" i="3" s="1"/>
  <c r="B482" i="3" s="1"/>
  <c r="AR475" i="3"/>
  <c r="AS475" i="3" s="1"/>
  <c r="AT475" i="3" s="1"/>
  <c r="B475" i="3" s="1"/>
  <c r="AR468" i="3"/>
  <c r="AS468" i="3" s="1"/>
  <c r="AT468" i="3" s="1"/>
  <c r="B468" i="3" s="1"/>
  <c r="AR461" i="3"/>
  <c r="AS461" i="3" s="1"/>
  <c r="AT461" i="3" s="1"/>
  <c r="B461" i="3" s="1"/>
  <c r="AR459" i="3"/>
  <c r="AZ419" i="3"/>
  <c r="AR414" i="3"/>
  <c r="AZ384" i="3"/>
  <c r="AR374" i="3"/>
  <c r="AS374" i="3" s="1"/>
  <c r="AT374" i="3" s="1"/>
  <c r="B374" i="3" s="1"/>
  <c r="AZ371" i="3"/>
  <c r="AR296" i="3"/>
  <c r="AS296" i="3" s="1"/>
  <c r="AT296" i="3" s="1"/>
  <c r="AS705" i="3"/>
  <c r="AT705" i="3" s="1"/>
  <c r="B705" i="3" s="1"/>
  <c r="AS693" i="3"/>
  <c r="AT693" i="3" s="1"/>
  <c r="B693" i="3" s="1"/>
  <c r="AR678" i="3"/>
  <c r="AS678" i="3" s="1"/>
  <c r="AT678" i="3" s="1"/>
  <c r="B678" i="3" s="1"/>
  <c r="AR676" i="3"/>
  <c r="AR674" i="3"/>
  <c r="AR661" i="3"/>
  <c r="AS661" i="3" s="1"/>
  <c r="AT661" i="3" s="1"/>
  <c r="B661" i="3" s="1"/>
  <c r="AR628" i="3"/>
  <c r="AS628" i="3" s="1"/>
  <c r="AT628" i="3" s="1"/>
  <c r="B628" i="3" s="1"/>
  <c r="AR615" i="3"/>
  <c r="AS615" i="3" s="1"/>
  <c r="AT615" i="3" s="1"/>
  <c r="B615" i="3" s="1"/>
  <c r="AR580" i="3"/>
  <c r="AS580" i="3" s="1"/>
  <c r="AT580" i="3" s="1"/>
  <c r="B580" i="3" s="1"/>
  <c r="AR577" i="3"/>
  <c r="AS577" i="3" s="1"/>
  <c r="AT577" i="3" s="1"/>
  <c r="B577" i="3" s="1"/>
  <c r="AR498" i="3"/>
  <c r="AS498" i="3" s="1"/>
  <c r="AT498" i="3" s="1"/>
  <c r="B498" i="3" s="1"/>
  <c r="AR454" i="3"/>
  <c r="AS447" i="3"/>
  <c r="AT447" i="3" s="1"/>
  <c r="B447" i="3" s="1"/>
  <c r="AR444" i="3"/>
  <c r="AS444" i="3" s="1"/>
  <c r="AT444" i="3" s="1"/>
  <c r="B444" i="3" s="1"/>
  <c r="AR421" i="3"/>
  <c r="AS421" i="3" s="1"/>
  <c r="AT421" i="3" s="1"/>
  <c r="B421" i="3" s="1"/>
  <c r="AR419" i="3"/>
  <c r="AS419" i="3" s="1"/>
  <c r="AT419" i="3" s="1"/>
  <c r="B419" i="3" s="1"/>
  <c r="AZ408" i="3"/>
  <c r="AR399" i="3"/>
  <c r="AS399" i="3" s="1"/>
  <c r="AT399" i="3" s="1"/>
  <c r="B399" i="3" s="1"/>
  <c r="AR389" i="3"/>
  <c r="AS389" i="3" s="1"/>
  <c r="AT389" i="3" s="1"/>
  <c r="B389" i="3" s="1"/>
  <c r="AZ361" i="3"/>
  <c r="AR328" i="3"/>
  <c r="AR305" i="3"/>
  <c r="AS305" i="3" s="1"/>
  <c r="AT305" i="3" s="1"/>
  <c r="AZ303" i="3"/>
  <c r="AR287" i="3"/>
  <c r="AS287" i="3" s="1"/>
  <c r="AT287" i="3" s="1"/>
  <c r="B287" i="3" s="1"/>
  <c r="AS199" i="3"/>
  <c r="AT199" i="3" s="1"/>
  <c r="B199" i="3" s="1"/>
  <c r="AR672" i="3"/>
  <c r="AS672" i="3" s="1"/>
  <c r="AT672" i="3" s="1"/>
  <c r="B672" i="3" s="1"/>
  <c r="AR613" i="3"/>
  <c r="AR611" i="3"/>
  <c r="AR609" i="3"/>
  <c r="AS609" i="3" s="1"/>
  <c r="AT609" i="3" s="1"/>
  <c r="B609" i="3" s="1"/>
  <c r="AR589" i="3"/>
  <c r="AS589" i="3" s="1"/>
  <c r="AT589" i="3" s="1"/>
  <c r="B589" i="3" s="1"/>
  <c r="AR566" i="3"/>
  <c r="AS566" i="3" s="1"/>
  <c r="AT566" i="3" s="1"/>
  <c r="B566" i="3" s="1"/>
  <c r="AS352" i="3"/>
  <c r="AT352" i="3" s="1"/>
  <c r="B352" i="3" s="1"/>
  <c r="AZ299" i="3"/>
  <c r="AR223" i="3"/>
  <c r="AS223" i="3" s="1"/>
  <c r="AT223" i="3" s="1"/>
  <c r="B223" i="3" s="1"/>
  <c r="AR190" i="3"/>
  <c r="AS190" i="3" s="1"/>
  <c r="AT190" i="3" s="1"/>
  <c r="B190" i="3" s="1"/>
  <c r="AR128" i="3"/>
  <c r="AS128" i="3" s="1"/>
  <c r="AT128" i="3" s="1"/>
  <c r="B128" i="3" s="1"/>
  <c r="AR607" i="3"/>
  <c r="AS607" i="3" s="1"/>
  <c r="AT607" i="3" s="1"/>
  <c r="B607" i="3" s="1"/>
  <c r="AR602" i="3"/>
  <c r="AS602" i="3" s="1"/>
  <c r="AT602" i="3" s="1"/>
  <c r="B602" i="3" s="1"/>
  <c r="AR582" i="3"/>
  <c r="AS582" i="3" s="1"/>
  <c r="AT582" i="3" s="1"/>
  <c r="B582" i="3" s="1"/>
  <c r="AR567" i="3"/>
  <c r="AS567" i="3" s="1"/>
  <c r="AT567" i="3" s="1"/>
  <c r="B567" i="3" s="1"/>
  <c r="AR540" i="3"/>
  <c r="AS540" i="3" s="1"/>
  <c r="AT540" i="3" s="1"/>
  <c r="B540" i="3" s="1"/>
  <c r="AR503" i="3"/>
  <c r="AS503" i="3" s="1"/>
  <c r="AT503" i="3" s="1"/>
  <c r="B503" i="3" s="1"/>
  <c r="AR496" i="3"/>
  <c r="AS496" i="3" s="1"/>
  <c r="AT496" i="3" s="1"/>
  <c r="B496" i="3" s="1"/>
  <c r="AR492" i="3"/>
  <c r="AS492" i="3" s="1"/>
  <c r="AT492" i="3" s="1"/>
  <c r="B492" i="3" s="1"/>
  <c r="AR470" i="3"/>
  <c r="AS470" i="3" s="1"/>
  <c r="AT470" i="3" s="1"/>
  <c r="B470" i="3" s="1"/>
  <c r="AR449" i="3"/>
  <c r="AS449" i="3" s="1"/>
  <c r="AT449" i="3" s="1"/>
  <c r="B449" i="3" s="1"/>
  <c r="AR429" i="3"/>
  <c r="AS429" i="3" s="1"/>
  <c r="AT429" i="3" s="1"/>
  <c r="B429" i="3" s="1"/>
  <c r="AZ416" i="3"/>
  <c r="AR411" i="3"/>
  <c r="AS411" i="3" s="1"/>
  <c r="AT411" i="3" s="1"/>
  <c r="B411" i="3" s="1"/>
  <c r="AZ392" i="3"/>
  <c r="AZ377" i="3"/>
  <c r="AZ362" i="3"/>
  <c r="AZ324" i="3"/>
  <c r="AZ302" i="3"/>
  <c r="AS219" i="3"/>
  <c r="AT219" i="3" s="1"/>
  <c r="B219" i="3" s="1"/>
  <c r="AR627" i="3"/>
  <c r="AR549" i="3"/>
  <c r="AS549" i="3" s="1"/>
  <c r="AT549" i="3" s="1"/>
  <c r="B549" i="3" s="1"/>
  <c r="AR547" i="3"/>
  <c r="AR545" i="3"/>
  <c r="AS545" i="3" s="1"/>
  <c r="AT545" i="3" s="1"/>
  <c r="B545" i="3" s="1"/>
  <c r="AR520" i="3"/>
  <c r="AS520" i="3" s="1"/>
  <c r="AT520" i="3" s="1"/>
  <c r="B520" i="3" s="1"/>
  <c r="AR485" i="3"/>
  <c r="AS485" i="3" s="1"/>
  <c r="AT485" i="3" s="1"/>
  <c r="B485" i="3" s="1"/>
  <c r="AR483" i="3"/>
  <c r="AR481" i="3"/>
  <c r="AS481" i="3" s="1"/>
  <c r="AT481" i="3" s="1"/>
  <c r="B481" i="3" s="1"/>
  <c r="AR476" i="3"/>
  <c r="AR438" i="3"/>
  <c r="AZ433" i="3"/>
  <c r="AR428" i="3"/>
  <c r="AS428" i="3" s="1"/>
  <c r="AT428" i="3" s="1"/>
  <c r="B428" i="3" s="1"/>
  <c r="AZ395" i="3"/>
  <c r="AR380" i="3"/>
  <c r="AR376" i="3"/>
  <c r="AR371" i="3"/>
  <c r="AS371" i="3" s="1"/>
  <c r="AT371" i="3" s="1"/>
  <c r="B371" i="3" s="1"/>
  <c r="AZ364" i="3"/>
  <c r="AZ327" i="3"/>
  <c r="AR320" i="3"/>
  <c r="AS320" i="3" s="1"/>
  <c r="AT320" i="3" s="1"/>
  <c r="AR247" i="3"/>
  <c r="AS247" i="3"/>
  <c r="AT247" i="3" s="1"/>
  <c r="B247" i="3" s="1"/>
  <c r="AR198" i="3"/>
  <c r="AS198" i="3" s="1"/>
  <c r="AT198" i="3" s="1"/>
  <c r="B198" i="3" s="1"/>
  <c r="AS142" i="3"/>
  <c r="AT142" i="3" s="1"/>
  <c r="B142" i="3" s="1"/>
  <c r="AS7" i="3"/>
  <c r="AT7" i="3" s="1"/>
  <c r="B7" i="3" s="1"/>
  <c r="B27" i="4"/>
  <c r="E27" i="4" s="1"/>
  <c r="AR349" i="3"/>
  <c r="AR347" i="3"/>
  <c r="AS347" i="3" s="1"/>
  <c r="AT347" i="3" s="1"/>
  <c r="B347" i="3" s="1"/>
  <c r="AS323" i="3"/>
  <c r="AT323" i="3" s="1"/>
  <c r="AZ314" i="3"/>
  <c r="AR297" i="3"/>
  <c r="AS297" i="3" s="1"/>
  <c r="AT297" i="3" s="1"/>
  <c r="AR250" i="3"/>
  <c r="AR243" i="3"/>
  <c r="AS243" i="3" s="1"/>
  <c r="AT243" i="3" s="1"/>
  <c r="B243" i="3" s="1"/>
  <c r="AR204" i="3"/>
  <c r="AS204" i="3" s="1"/>
  <c r="AT204" i="3" s="1"/>
  <c r="B204" i="3" s="1"/>
  <c r="AR202" i="3"/>
  <c r="AR186" i="3"/>
  <c r="AS186" i="3" s="1"/>
  <c r="AT186" i="3" s="1"/>
  <c r="B186" i="3" s="1"/>
  <c r="AR171" i="3"/>
  <c r="AS171" i="3" s="1"/>
  <c r="AT171" i="3" s="1"/>
  <c r="B171" i="3" s="1"/>
  <c r="AR160" i="3"/>
  <c r="AS160" i="3" s="1"/>
  <c r="AT160" i="3" s="1"/>
  <c r="B160" i="3" s="1"/>
  <c r="AS138" i="3"/>
  <c r="AT138" i="3" s="1"/>
  <c r="B138" i="3" s="1"/>
  <c r="AS122" i="3"/>
  <c r="AT122" i="3" s="1"/>
  <c r="B122" i="3" s="1"/>
  <c r="AS93" i="3"/>
  <c r="AT93" i="3" s="1"/>
  <c r="B93" i="3" s="1"/>
  <c r="AR91" i="3"/>
  <c r="AS67" i="3"/>
  <c r="AT67" i="3" s="1"/>
  <c r="B67" i="3" s="1"/>
  <c r="AR50" i="3"/>
  <c r="AR48" i="3"/>
  <c r="AR46" i="3"/>
  <c r="AS46" i="3" s="1"/>
  <c r="AT46" i="3" s="1"/>
  <c r="B46" i="3" s="1"/>
  <c r="AR12" i="3"/>
  <c r="AS12" i="3" s="1"/>
  <c r="AT12" i="3" s="1"/>
  <c r="B12" i="3" s="1"/>
  <c r="C29" i="5"/>
  <c r="B31" i="5" s="1"/>
  <c r="AZ304" i="3"/>
  <c r="AZ378" i="3"/>
  <c r="AR339" i="3"/>
  <c r="AS339" i="3" s="1"/>
  <c r="AT339" i="3" s="1"/>
  <c r="B339" i="3" s="1"/>
  <c r="AZ320" i="3"/>
  <c r="AZ319" i="3"/>
  <c r="AS317" i="3"/>
  <c r="AT317" i="3" s="1"/>
  <c r="AS315" i="3"/>
  <c r="AT315" i="3" s="1"/>
  <c r="AR314" i="3"/>
  <c r="AS314" i="3" s="1"/>
  <c r="AT314" i="3" s="1"/>
  <c r="AR312" i="3"/>
  <c r="AR308" i="3"/>
  <c r="AS308" i="3" s="1"/>
  <c r="AT308" i="3" s="1"/>
  <c r="AR299" i="3"/>
  <c r="AR298" i="3"/>
  <c r="AR289" i="3"/>
  <c r="AS261" i="3"/>
  <c r="AT261" i="3" s="1"/>
  <c r="B261" i="3" s="1"/>
  <c r="AR220" i="3"/>
  <c r="AS220" i="3" s="1"/>
  <c r="AT220" i="3" s="1"/>
  <c r="B220" i="3" s="1"/>
  <c r="AR218" i="3"/>
  <c r="AR194" i="3"/>
  <c r="AS194" i="3" s="1"/>
  <c r="AT194" i="3" s="1"/>
  <c r="B194" i="3" s="1"/>
  <c r="AR179" i="3"/>
  <c r="AR177" i="3"/>
  <c r="AR152" i="3"/>
  <c r="AS152" i="3" s="1"/>
  <c r="AT152" i="3" s="1"/>
  <c r="B152" i="3" s="1"/>
  <c r="AR143" i="3"/>
  <c r="AS134" i="3"/>
  <c r="AT134" i="3" s="1"/>
  <c r="B134" i="3" s="1"/>
  <c r="AR125" i="3"/>
  <c r="AR112" i="3"/>
  <c r="AS112" i="3" s="1"/>
  <c r="AT112" i="3" s="1"/>
  <c r="B112" i="3" s="1"/>
  <c r="AR104" i="3"/>
  <c r="AS104" i="3" s="1"/>
  <c r="AT104" i="3" s="1"/>
  <c r="B104" i="3" s="1"/>
  <c r="AR102" i="3"/>
  <c r="AS102" i="3" s="1"/>
  <c r="AT102" i="3" s="1"/>
  <c r="B102" i="3" s="1"/>
  <c r="AR36" i="3"/>
  <c r="AS36" i="3" s="1"/>
  <c r="AT36" i="3" s="1"/>
  <c r="B36" i="3" s="1"/>
  <c r="AR32" i="3"/>
  <c r="AR28" i="3"/>
  <c r="AS28" i="3" s="1"/>
  <c r="AT28" i="3" s="1"/>
  <c r="B28" i="3" s="1"/>
  <c r="AR26" i="3"/>
  <c r="AZ328" i="3"/>
  <c r="AS179" i="3"/>
  <c r="AT179" i="3" s="1"/>
  <c r="B179" i="3" s="1"/>
  <c r="AR402" i="3"/>
  <c r="AS402" i="3" s="1"/>
  <c r="AT402" i="3" s="1"/>
  <c r="B402" i="3" s="1"/>
  <c r="AZ400" i="3"/>
  <c r="AR396" i="3"/>
  <c r="AR384" i="3"/>
  <c r="AR331" i="3"/>
  <c r="AS331" i="3" s="1"/>
  <c r="AT331" i="3" s="1"/>
  <c r="AZ325" i="3"/>
  <c r="AR318" i="3"/>
  <c r="AS318" i="3" s="1"/>
  <c r="AT318" i="3" s="1"/>
  <c r="AZ309" i="3"/>
  <c r="AZ306" i="3"/>
  <c r="AS284" i="3"/>
  <c r="AT284" i="3" s="1"/>
  <c r="B284" i="3" s="1"/>
  <c r="AR51" i="3"/>
  <c r="AS51" i="3" s="1"/>
  <c r="AT51" i="3" s="1"/>
  <c r="B51" i="3" s="1"/>
  <c r="AR487" i="3"/>
  <c r="AS487" i="3" s="1"/>
  <c r="AT487" i="3" s="1"/>
  <c r="B487" i="3" s="1"/>
  <c r="AZ429" i="3"/>
  <c r="AZ415" i="3"/>
  <c r="AR415" i="3"/>
  <c r="AS415" i="3" s="1"/>
  <c r="AT415" i="3" s="1"/>
  <c r="B415" i="3" s="1"/>
  <c r="AZ376" i="3"/>
  <c r="AZ374" i="3"/>
  <c r="AZ354" i="3"/>
  <c r="AR353" i="3"/>
  <c r="AS353" i="3" s="1"/>
  <c r="AT353" i="3" s="1"/>
  <c r="B353" i="3" s="1"/>
  <c r="AR332" i="3"/>
  <c r="AS332" i="3" s="1"/>
  <c r="AT332" i="3" s="1"/>
  <c r="AZ323" i="3"/>
  <c r="AZ307" i="3"/>
  <c r="AZ297" i="3"/>
  <c r="AR269" i="3"/>
  <c r="AS269" i="3" s="1"/>
  <c r="AT269" i="3" s="1"/>
  <c r="B269" i="3" s="1"/>
  <c r="AR260" i="3"/>
  <c r="AR258" i="3"/>
  <c r="AS251" i="3"/>
  <c r="AT251" i="3" s="1"/>
  <c r="B251" i="3" s="1"/>
  <c r="AR238" i="3"/>
  <c r="AS238" i="3" s="1"/>
  <c r="AT238" i="3" s="1"/>
  <c r="B238" i="3" s="1"/>
  <c r="AR212" i="3"/>
  <c r="AS212" i="3" s="1"/>
  <c r="AT212" i="3" s="1"/>
  <c r="B212" i="3" s="1"/>
  <c r="AR210" i="3"/>
  <c r="AS210" i="3" s="1"/>
  <c r="AT210" i="3" s="1"/>
  <c r="B210" i="3" s="1"/>
  <c r="AS203" i="3"/>
  <c r="AT203" i="3" s="1"/>
  <c r="B203" i="3" s="1"/>
  <c r="AR168" i="3"/>
  <c r="AS168" i="3" s="1"/>
  <c r="AT168" i="3" s="1"/>
  <c r="B168" i="3" s="1"/>
  <c r="AR155" i="3"/>
  <c r="AS155" i="3" s="1"/>
  <c r="AT155" i="3" s="1"/>
  <c r="B155" i="3" s="1"/>
  <c r="AR62" i="3"/>
  <c r="AS62" i="3" s="1"/>
  <c r="AT62" i="3" s="1"/>
  <c r="B62" i="3" s="1"/>
  <c r="AR60" i="3"/>
  <c r="AS60" i="3" s="1"/>
  <c r="AT60" i="3" s="1"/>
  <c r="B60" i="3" s="1"/>
  <c r="AR20" i="3"/>
  <c r="AS20" i="3" s="1"/>
  <c r="AT20" i="3" s="1"/>
  <c r="B20" i="3" s="1"/>
  <c r="AR11" i="3"/>
  <c r="AS11" i="3" s="1"/>
  <c r="AT11" i="3" s="1"/>
  <c r="B11" i="3" s="1"/>
  <c r="B63" i="5"/>
  <c r="E63" i="5" s="1"/>
  <c r="C65" i="5" s="1"/>
  <c r="B67" i="5" s="1"/>
  <c r="B39" i="5"/>
  <c r="D123" i="1"/>
  <c r="G128" i="1"/>
  <c r="J123" i="1"/>
  <c r="H128" i="1"/>
  <c r="F123" i="1"/>
  <c r="F183" i="1"/>
  <c r="E10" i="6"/>
  <c r="I183" i="1"/>
  <c r="G178" i="1"/>
  <c r="E178" i="1"/>
  <c r="C178" i="1"/>
  <c r="C128" i="1"/>
  <c r="H183" i="1"/>
  <c r="I178" i="1"/>
  <c r="G183" i="1"/>
  <c r="E128" i="1"/>
  <c r="F128" i="1"/>
  <c r="J128" i="1"/>
  <c r="E8" i="8"/>
  <c r="B24" i="8" s="1"/>
  <c r="E10" i="8"/>
  <c r="B8" i="8"/>
  <c r="B12" i="6"/>
  <c r="H178" i="1"/>
  <c r="F178" i="1"/>
  <c r="D178" i="1"/>
  <c r="D128" i="1"/>
  <c r="C183" i="1"/>
  <c r="D32" i="8"/>
  <c r="B11" i="8"/>
  <c r="B8" i="6"/>
  <c r="D55" i="6"/>
  <c r="B9" i="6"/>
  <c r="AZ719" i="3"/>
  <c r="AS700" i="3"/>
  <c r="AT700" i="3" s="1"/>
  <c r="B700" i="3" s="1"/>
  <c r="AS722" i="3"/>
  <c r="AT722" i="3" s="1"/>
  <c r="B722" i="3" s="1"/>
  <c r="AR639" i="3"/>
  <c r="AS639" i="3" s="1"/>
  <c r="AT639" i="3" s="1"/>
  <c r="B639" i="3" s="1"/>
  <c r="AS732" i="3"/>
  <c r="AT732" i="3" s="1"/>
  <c r="B732" i="3" s="1"/>
  <c r="AS716" i="3"/>
  <c r="AT716" i="3" s="1"/>
  <c r="B716" i="3" s="1"/>
  <c r="AS707" i="3"/>
  <c r="AT707" i="3" s="1"/>
  <c r="B707" i="3" s="1"/>
  <c r="AS690" i="3"/>
  <c r="AT690" i="3" s="1"/>
  <c r="B690" i="3" s="1"/>
  <c r="AR653" i="3"/>
  <c r="AS653" i="3" s="1"/>
  <c r="AT653" i="3" s="1"/>
  <c r="B653" i="3" s="1"/>
  <c r="AS573" i="3"/>
  <c r="AT573" i="3" s="1"/>
  <c r="B573" i="3" s="1"/>
  <c r="AR544" i="3"/>
  <c r="AS544" i="3" s="1"/>
  <c r="AT544" i="3" s="1"/>
  <c r="B544" i="3" s="1"/>
  <c r="AS528" i="3"/>
  <c r="AT528" i="3" s="1"/>
  <c r="B528" i="3" s="1"/>
  <c r="AR526" i="3"/>
  <c r="AS526" i="3" s="1"/>
  <c r="AT526" i="3" s="1"/>
  <c r="B526" i="3" s="1"/>
  <c r="AS505" i="3"/>
  <c r="AT505" i="3" s="1"/>
  <c r="B505" i="3" s="1"/>
  <c r="AR458" i="3"/>
  <c r="AS445" i="3"/>
  <c r="AT445" i="3" s="1"/>
  <c r="B445" i="3" s="1"/>
  <c r="AZ428" i="3"/>
  <c r="AS698" i="3"/>
  <c r="AT698" i="3" s="1"/>
  <c r="B698" i="3" s="1"/>
  <c r="AR586" i="3"/>
  <c r="AS586" i="3" s="1"/>
  <c r="AT586" i="3" s="1"/>
  <c r="B586" i="3" s="1"/>
  <c r="AZ730" i="3"/>
  <c r="AS726" i="3"/>
  <c r="AT726" i="3" s="1"/>
  <c r="B726" i="3" s="1"/>
  <c r="AR717" i="3"/>
  <c r="AS717" i="3" s="1"/>
  <c r="AT717" i="3" s="1"/>
  <c r="B717" i="3" s="1"/>
  <c r="AR708" i="3"/>
  <c r="AS708" i="3" s="1"/>
  <c r="AT708" i="3" s="1"/>
  <c r="B708" i="3" s="1"/>
  <c r="AS676" i="3"/>
  <c r="AT676" i="3" s="1"/>
  <c r="B676" i="3" s="1"/>
  <c r="AS674" i="3"/>
  <c r="AT674" i="3" s="1"/>
  <c r="B674" i="3" s="1"/>
  <c r="AS650" i="3"/>
  <c r="AT650" i="3" s="1"/>
  <c r="B650" i="3" s="1"/>
  <c r="AR629" i="3"/>
  <c r="AS629" i="3" s="1"/>
  <c r="AT629" i="3" s="1"/>
  <c r="B629" i="3" s="1"/>
  <c r="AS613" i="3"/>
  <c r="AT613" i="3" s="1"/>
  <c r="B613" i="3" s="1"/>
  <c r="AR571" i="3"/>
  <c r="AS571" i="3" s="1"/>
  <c r="AT571" i="3" s="1"/>
  <c r="B571" i="3" s="1"/>
  <c r="AS568" i="3"/>
  <c r="AT568" i="3" s="1"/>
  <c r="B568" i="3" s="1"/>
  <c r="AS548" i="3"/>
  <c r="AT548" i="3" s="1"/>
  <c r="B548" i="3" s="1"/>
  <c r="AS546" i="3"/>
  <c r="AT546" i="3" s="1"/>
  <c r="B546" i="3" s="1"/>
  <c r="AS523" i="3"/>
  <c r="AT523" i="3" s="1"/>
  <c r="B523" i="3" s="1"/>
  <c r="AR521" i="3"/>
  <c r="AS508" i="3"/>
  <c r="AT508" i="3" s="1"/>
  <c r="B508" i="3" s="1"/>
  <c r="AR500" i="3"/>
  <c r="AS500" i="3" s="1"/>
  <c r="AT500" i="3" s="1"/>
  <c r="B500" i="3" s="1"/>
  <c r="AS497" i="3"/>
  <c r="AT497" i="3" s="1"/>
  <c r="B497" i="3" s="1"/>
  <c r="AS454" i="3"/>
  <c r="AT454" i="3" s="1"/>
  <c r="B454" i="3" s="1"/>
  <c r="AR443" i="3"/>
  <c r="AS434" i="3"/>
  <c r="AT434" i="3" s="1"/>
  <c r="B434" i="3" s="1"/>
  <c r="AR433" i="3"/>
  <c r="AS433" i="3" s="1"/>
  <c r="AT433" i="3" s="1"/>
  <c r="B433" i="3" s="1"/>
  <c r="AZ431" i="3"/>
  <c r="AZ417" i="3"/>
  <c r="AZ405" i="3"/>
  <c r="AZ390" i="3"/>
  <c r="AR733" i="3"/>
  <c r="AS733" i="3" s="1"/>
  <c r="AT733" i="3" s="1"/>
  <c r="B733" i="3" s="1"/>
  <c r="AZ724" i="3"/>
  <c r="AS699" i="3"/>
  <c r="AT699" i="3" s="1"/>
  <c r="B699" i="3" s="1"/>
  <c r="AS691" i="3"/>
  <c r="AT691" i="3" s="1"/>
  <c r="B691" i="3" s="1"/>
  <c r="AR635" i="3"/>
  <c r="AS635" i="3" s="1"/>
  <c r="AT635" i="3" s="1"/>
  <c r="B635" i="3" s="1"/>
  <c r="AR524" i="3"/>
  <c r="AS524" i="3" s="1"/>
  <c r="AT524" i="3" s="1"/>
  <c r="B524" i="3" s="1"/>
  <c r="AR506" i="3"/>
  <c r="AS506" i="3" s="1"/>
  <c r="AT506" i="3" s="1"/>
  <c r="B506" i="3" s="1"/>
  <c r="AS458" i="3"/>
  <c r="AT458" i="3" s="1"/>
  <c r="B458" i="3" s="1"/>
  <c r="AS443" i="3"/>
  <c r="AT443" i="3" s="1"/>
  <c r="B443" i="3" s="1"/>
  <c r="AR431" i="3"/>
  <c r="AS431" i="3" s="1"/>
  <c r="AT431" i="3" s="1"/>
  <c r="B431" i="3" s="1"/>
  <c r="AZ412" i="3"/>
  <c r="AR574" i="3"/>
  <c r="AS574" i="3"/>
  <c r="AT574" i="3" s="1"/>
  <c r="B574" i="3" s="1"/>
  <c r="AS563" i="3"/>
  <c r="AT563" i="3" s="1"/>
  <c r="B563" i="3" s="1"/>
  <c r="AS541" i="3"/>
  <c r="AT541" i="3" s="1"/>
  <c r="B541" i="3" s="1"/>
  <c r="AS521" i="3"/>
  <c r="AT521" i="3" s="1"/>
  <c r="B521" i="3" s="1"/>
  <c r="AR509" i="3"/>
  <c r="AS509" i="3" s="1"/>
  <c r="AT509" i="3" s="1"/>
  <c r="B509" i="3" s="1"/>
  <c r="AR464" i="3"/>
  <c r="AS464" i="3" s="1"/>
  <c r="AT464" i="3" s="1"/>
  <c r="B464" i="3" s="1"/>
  <c r="AR446" i="3"/>
  <c r="AS446" i="3" s="1"/>
  <c r="AT446" i="3" s="1"/>
  <c r="B446" i="3" s="1"/>
  <c r="AR441" i="3"/>
  <c r="AS441" i="3" s="1"/>
  <c r="AT441" i="3" s="1"/>
  <c r="B441" i="3" s="1"/>
  <c r="AZ424" i="3"/>
  <c r="AR403" i="3"/>
  <c r="AS403" i="3" s="1"/>
  <c r="AT403" i="3" s="1"/>
  <c r="B403" i="3" s="1"/>
  <c r="AZ380" i="3"/>
  <c r="AZ373" i="3"/>
  <c r="AS651" i="3"/>
  <c r="AT651" i="3" s="1"/>
  <c r="B651" i="3" s="1"/>
  <c r="AS638" i="3"/>
  <c r="AT638" i="3" s="1"/>
  <c r="B638" i="3" s="1"/>
  <c r="AS627" i="3"/>
  <c r="AT627" i="3" s="1"/>
  <c r="B627" i="3" s="1"/>
  <c r="AS592" i="3"/>
  <c r="AT592" i="3" s="1"/>
  <c r="B592" i="3" s="1"/>
  <c r="AS584" i="3"/>
  <c r="AT584" i="3" s="1"/>
  <c r="B584" i="3" s="1"/>
  <c r="AS456" i="3"/>
  <c r="AT456" i="3" s="1"/>
  <c r="B456" i="3" s="1"/>
  <c r="AS438" i="3"/>
  <c r="AT438" i="3" s="1"/>
  <c r="B438" i="3" s="1"/>
  <c r="AR363" i="3"/>
  <c r="AS363" i="3" s="1"/>
  <c r="AT363" i="3" s="1"/>
  <c r="B363" i="3" s="1"/>
  <c r="AS679" i="3"/>
  <c r="AT679" i="3" s="1"/>
  <c r="B679" i="3" s="1"/>
  <c r="AS677" i="3"/>
  <c r="AT677" i="3" s="1"/>
  <c r="B677" i="3" s="1"/>
  <c r="AS675" i="3"/>
  <c r="AT675" i="3" s="1"/>
  <c r="B675" i="3" s="1"/>
  <c r="AS654" i="3"/>
  <c r="AT654" i="3" s="1"/>
  <c r="B654" i="3" s="1"/>
  <c r="AR652" i="3"/>
  <c r="AS652" i="3" s="1"/>
  <c r="AT652" i="3" s="1"/>
  <c r="B652" i="3" s="1"/>
  <c r="AS633" i="3"/>
  <c r="AT633" i="3" s="1"/>
  <c r="B633" i="3" s="1"/>
  <c r="AR631" i="3"/>
  <c r="AS631" i="3" s="1"/>
  <c r="AT631" i="3" s="1"/>
  <c r="B631" i="3" s="1"/>
  <c r="AS612" i="3"/>
  <c r="AT612" i="3" s="1"/>
  <c r="B612" i="3" s="1"/>
  <c r="AS610" i="3"/>
  <c r="AT610" i="3" s="1"/>
  <c r="B610" i="3" s="1"/>
  <c r="AS604" i="3"/>
  <c r="AT604" i="3" s="1"/>
  <c r="B604" i="3" s="1"/>
  <c r="AS587" i="3"/>
  <c r="AT587" i="3" s="1"/>
  <c r="B587" i="3" s="1"/>
  <c r="AR585" i="3"/>
  <c r="AS585" i="3" s="1"/>
  <c r="AT585" i="3" s="1"/>
  <c r="B585" i="3" s="1"/>
  <c r="AS572" i="3"/>
  <c r="AT572" i="3" s="1"/>
  <c r="B572" i="3" s="1"/>
  <c r="AS561" i="3"/>
  <c r="AT561" i="3" s="1"/>
  <c r="B561" i="3" s="1"/>
  <c r="AR502" i="3"/>
  <c r="AS502" i="3" s="1"/>
  <c r="AT502" i="3" s="1"/>
  <c r="B502" i="3" s="1"/>
  <c r="AS486" i="3"/>
  <c r="AT486" i="3" s="1"/>
  <c r="B486" i="3" s="1"/>
  <c r="AS484" i="3"/>
  <c r="AT484" i="3" s="1"/>
  <c r="B484" i="3" s="1"/>
  <c r="AS476" i="3"/>
  <c r="AT476" i="3" s="1"/>
  <c r="B476" i="3" s="1"/>
  <c r="AS459" i="3"/>
  <c r="AT459" i="3" s="1"/>
  <c r="B459" i="3" s="1"/>
  <c r="AR457" i="3"/>
  <c r="AS457" i="3" s="1"/>
  <c r="AT457" i="3" s="1"/>
  <c r="B457" i="3" s="1"/>
  <c r="AS450" i="3"/>
  <c r="AT450" i="3" s="1"/>
  <c r="B450" i="3" s="1"/>
  <c r="AS386" i="3"/>
  <c r="AT386" i="3" s="1"/>
  <c r="B386" i="3" s="1"/>
  <c r="AZ720" i="3"/>
  <c r="AS715" i="3"/>
  <c r="AT715" i="3" s="1"/>
  <c r="B715" i="3" s="1"/>
  <c r="AS706" i="3"/>
  <c r="AT706" i="3" s="1"/>
  <c r="B706" i="3" s="1"/>
  <c r="AS673" i="3"/>
  <c r="AT673" i="3" s="1"/>
  <c r="B673" i="3" s="1"/>
  <c r="AS657" i="3"/>
  <c r="AT657" i="3" s="1"/>
  <c r="B657" i="3" s="1"/>
  <c r="AR655" i="3"/>
  <c r="AS655" i="3" s="1"/>
  <c r="AT655" i="3" s="1"/>
  <c r="B655" i="3" s="1"/>
  <c r="AS608" i="3"/>
  <c r="AT608" i="3" s="1"/>
  <c r="B608" i="3" s="1"/>
  <c r="AS590" i="3"/>
  <c r="AT590" i="3" s="1"/>
  <c r="B590" i="3" s="1"/>
  <c r="AR588" i="3"/>
  <c r="AS588" i="3" s="1"/>
  <c r="AT588" i="3" s="1"/>
  <c r="B588" i="3" s="1"/>
  <c r="AR570" i="3"/>
  <c r="AS570" i="3" s="1"/>
  <c r="AT570" i="3" s="1"/>
  <c r="B570" i="3" s="1"/>
  <c r="AS522" i="3"/>
  <c r="AT522" i="3" s="1"/>
  <c r="B522" i="3" s="1"/>
  <c r="AS507" i="3"/>
  <c r="AT507" i="3" s="1"/>
  <c r="B507" i="3" s="1"/>
  <c r="AS480" i="3"/>
  <c r="AT480" i="3" s="1"/>
  <c r="B480" i="3" s="1"/>
  <c r="AS472" i="3"/>
  <c r="AT472" i="3" s="1"/>
  <c r="B472" i="3" s="1"/>
  <c r="AS462" i="3"/>
  <c r="AT462" i="3" s="1"/>
  <c r="B462" i="3" s="1"/>
  <c r="AR460" i="3"/>
  <c r="AS460" i="3" s="1"/>
  <c r="AT460" i="3" s="1"/>
  <c r="B460" i="3" s="1"/>
  <c r="AR442" i="3"/>
  <c r="AS442" i="3" s="1"/>
  <c r="AT442" i="3" s="1"/>
  <c r="B442" i="3" s="1"/>
  <c r="AZ425" i="3"/>
  <c r="AR422" i="3"/>
  <c r="AS422" i="3" s="1"/>
  <c r="AT422" i="3" s="1"/>
  <c r="B422" i="3" s="1"/>
  <c r="AZ383" i="3"/>
  <c r="AS714" i="3"/>
  <c r="AT714" i="3" s="1"/>
  <c r="B714" i="3" s="1"/>
  <c r="AS649" i="3"/>
  <c r="AT649" i="3" s="1"/>
  <c r="B649" i="3" s="1"/>
  <c r="AS525" i="3"/>
  <c r="AT525" i="3" s="1"/>
  <c r="B525" i="3" s="1"/>
  <c r="AR510" i="3"/>
  <c r="AS510" i="3" s="1"/>
  <c r="AT510" i="3" s="1"/>
  <c r="B510" i="3" s="1"/>
  <c r="AZ368" i="3"/>
  <c r="AS660" i="3"/>
  <c r="AT660" i="3" s="1"/>
  <c r="B660" i="3" s="1"/>
  <c r="AS595" i="3"/>
  <c r="AT595" i="3" s="1"/>
  <c r="B595" i="3" s="1"/>
  <c r="AS531" i="3"/>
  <c r="AT531" i="3" s="1"/>
  <c r="B531" i="3" s="1"/>
  <c r="AS467" i="3"/>
  <c r="AT467" i="3" s="1"/>
  <c r="B467" i="3" s="1"/>
  <c r="AS407" i="3"/>
  <c r="AT407" i="3" s="1"/>
  <c r="B407" i="3" s="1"/>
  <c r="AR397" i="3"/>
  <c r="AS397" i="3" s="1"/>
  <c r="AT397" i="3" s="1"/>
  <c r="B397" i="3" s="1"/>
  <c r="AR388" i="3"/>
  <c r="AS388" i="3" s="1"/>
  <c r="AT388" i="3" s="1"/>
  <c r="B388" i="3" s="1"/>
  <c r="AZ382" i="3"/>
  <c r="AZ345" i="3"/>
  <c r="AZ343" i="3"/>
  <c r="AZ333" i="3"/>
  <c r="AZ332" i="3"/>
  <c r="AZ326" i="3"/>
  <c r="AS299" i="3"/>
  <c r="AT299" i="3" s="1"/>
  <c r="AS611" i="3"/>
  <c r="AT611" i="3" s="1"/>
  <c r="B611" i="3" s="1"/>
  <c r="AS547" i="3"/>
  <c r="AT547" i="3" s="1"/>
  <c r="B547" i="3" s="1"/>
  <c r="AS483" i="3"/>
  <c r="AT483" i="3" s="1"/>
  <c r="B483" i="3" s="1"/>
  <c r="AS430" i="3"/>
  <c r="AT430" i="3" s="1"/>
  <c r="B430" i="3" s="1"/>
  <c r="AS427" i="3"/>
  <c r="AT427" i="3" s="1"/>
  <c r="B427" i="3" s="1"/>
  <c r="AR400" i="3"/>
  <c r="AS400" i="3" s="1"/>
  <c r="AT400" i="3" s="1"/>
  <c r="B400" i="3" s="1"/>
  <c r="AS380" i="3"/>
  <c r="AT380" i="3" s="1"/>
  <c r="B380" i="3" s="1"/>
  <c r="AZ359" i="3"/>
  <c r="AR340" i="3"/>
  <c r="AS340" i="3" s="1"/>
  <c r="AT340" i="3" s="1"/>
  <c r="B340" i="3" s="1"/>
  <c r="AS414" i="3"/>
  <c r="AT414" i="3" s="1"/>
  <c r="B414" i="3" s="1"/>
  <c r="AS376" i="3"/>
  <c r="AT376" i="3" s="1"/>
  <c r="B376" i="3" s="1"/>
  <c r="AR375" i="3"/>
  <c r="AS375" i="3" s="1"/>
  <c r="AT375" i="3" s="1"/>
  <c r="B375" i="3" s="1"/>
  <c r="AS373" i="3"/>
  <c r="AT373" i="3" s="1"/>
  <c r="B373" i="3" s="1"/>
  <c r="AR355" i="3"/>
  <c r="AS355" i="3" s="1"/>
  <c r="AT355" i="3" s="1"/>
  <c r="B355" i="3" s="1"/>
  <c r="AR348" i="3"/>
  <c r="AS348" i="3" s="1"/>
  <c r="AT348" i="3" s="1"/>
  <c r="B348" i="3" s="1"/>
  <c r="AS345" i="3"/>
  <c r="AT345" i="3" s="1"/>
  <c r="B345" i="3" s="1"/>
  <c r="AS338" i="3"/>
  <c r="AT338" i="3" s="1"/>
  <c r="B338" i="3" s="1"/>
  <c r="AS327" i="3"/>
  <c r="AT327" i="3" s="1"/>
  <c r="AZ317" i="3"/>
  <c r="AZ300" i="3"/>
  <c r="AS280" i="3"/>
  <c r="AT280" i="3" s="1"/>
  <c r="B280" i="3" s="1"/>
  <c r="AR274" i="3"/>
  <c r="AS274" i="3" s="1"/>
  <c r="AT274" i="3" s="1"/>
  <c r="B274" i="3" s="1"/>
  <c r="AS237" i="3"/>
  <c r="AT237" i="3" s="1"/>
  <c r="B237" i="3" s="1"/>
  <c r="AZ318" i="3"/>
  <c r="AZ432" i="3"/>
  <c r="AZ421" i="3"/>
  <c r="AZ413" i="3"/>
  <c r="AZ401" i="3"/>
  <c r="AS387" i="3"/>
  <c r="AT387" i="3" s="1"/>
  <c r="B387" i="3" s="1"/>
  <c r="AZ375" i="3"/>
  <c r="AZ365" i="3"/>
  <c r="AZ363" i="3"/>
  <c r="AZ344" i="3"/>
  <c r="AZ342" i="3"/>
  <c r="AR341" i="3"/>
  <c r="AR311" i="3"/>
  <c r="AS311" i="3" s="1"/>
  <c r="AT311" i="3" s="1"/>
  <c r="AS302" i="3"/>
  <c r="AT302" i="3" s="1"/>
  <c r="AZ298" i="3"/>
  <c r="AS260" i="3"/>
  <c r="AT260" i="3" s="1"/>
  <c r="B260" i="3" s="1"/>
  <c r="AS668" i="3"/>
  <c r="AT668" i="3" s="1"/>
  <c r="B668" i="3" s="1"/>
  <c r="AS579" i="3"/>
  <c r="AT579" i="3" s="1"/>
  <c r="B579" i="3" s="1"/>
  <c r="AS515" i="3"/>
  <c r="AT515" i="3" s="1"/>
  <c r="B515" i="3" s="1"/>
  <c r="AS451" i="3"/>
  <c r="AT451" i="3" s="1"/>
  <c r="B451" i="3" s="1"/>
  <c r="AS396" i="3"/>
  <c r="AT396" i="3" s="1"/>
  <c r="B396" i="3" s="1"/>
  <c r="AS393" i="3"/>
  <c r="AT393" i="3" s="1"/>
  <c r="B393" i="3" s="1"/>
  <c r="AS368" i="3"/>
  <c r="AT368" i="3" s="1"/>
  <c r="B368" i="3" s="1"/>
  <c r="AS351" i="3"/>
  <c r="AT351" i="3" s="1"/>
  <c r="B351" i="3" s="1"/>
  <c r="AS346" i="3"/>
  <c r="AT346" i="3" s="1"/>
  <c r="B346" i="3" s="1"/>
  <c r="AS341" i="3"/>
  <c r="AT341" i="3" s="1"/>
  <c r="B341" i="3" s="1"/>
  <c r="AS603" i="3"/>
  <c r="AT603" i="3" s="1"/>
  <c r="B603" i="3" s="1"/>
  <c r="AS644" i="3"/>
  <c r="AT644" i="3" s="1"/>
  <c r="B644" i="3" s="1"/>
  <c r="AS684" i="3"/>
  <c r="AT684" i="3" s="1"/>
  <c r="B684" i="3" s="1"/>
  <c r="AS619" i="3"/>
  <c r="AT619" i="3" s="1"/>
  <c r="B619" i="3" s="1"/>
  <c r="AS555" i="3"/>
  <c r="AT555" i="3" s="1"/>
  <c r="B555" i="3" s="1"/>
  <c r="AS491" i="3"/>
  <c r="AT491" i="3" s="1"/>
  <c r="B491" i="3" s="1"/>
  <c r="AS426" i="3"/>
  <c r="AT426" i="3" s="1"/>
  <c r="B426" i="3" s="1"/>
  <c r="AS418" i="3"/>
  <c r="AT418" i="3" s="1"/>
  <c r="B418" i="3" s="1"/>
  <c r="AZ394" i="3"/>
  <c r="AZ391" i="3"/>
  <c r="AR377" i="3"/>
  <c r="AS377" i="3" s="1"/>
  <c r="AT377" i="3" s="1"/>
  <c r="B377" i="3" s="1"/>
  <c r="AZ358" i="3"/>
  <c r="AS349" i="3"/>
  <c r="AT349" i="3" s="1"/>
  <c r="B349" i="3" s="1"/>
  <c r="AR337" i="3"/>
  <c r="AS337" i="3" s="1"/>
  <c r="AT337" i="3" s="1"/>
  <c r="B337" i="3" s="1"/>
  <c r="AS329" i="3"/>
  <c r="AT329" i="3" s="1"/>
  <c r="AS319" i="3"/>
  <c r="AT319" i="3" s="1"/>
  <c r="AZ313" i="3"/>
  <c r="AS303" i="3"/>
  <c r="AT303" i="3" s="1"/>
  <c r="AS283" i="3"/>
  <c r="AT283" i="3" s="1"/>
  <c r="B283" i="3" s="1"/>
  <c r="AS281" i="3"/>
  <c r="AT281" i="3" s="1"/>
  <c r="B281" i="3" s="1"/>
  <c r="AR275" i="3"/>
  <c r="AS275" i="3" s="1"/>
  <c r="AT275" i="3" s="1"/>
  <c r="B275" i="3" s="1"/>
  <c r="AR252" i="3"/>
  <c r="AS252" i="3" s="1"/>
  <c r="AT252" i="3" s="1"/>
  <c r="B252" i="3" s="1"/>
  <c r="AS372" i="3"/>
  <c r="AT372" i="3" s="1"/>
  <c r="B372" i="3" s="1"/>
  <c r="AZ294" i="3"/>
  <c r="AS248" i="3"/>
  <c r="AT248" i="3" s="1"/>
  <c r="B248" i="3" s="1"/>
  <c r="AS229" i="3"/>
  <c r="AT229" i="3" s="1"/>
  <c r="B229" i="3" s="1"/>
  <c r="AR200" i="3"/>
  <c r="AS200" i="3" s="1"/>
  <c r="AT200" i="3" s="1"/>
  <c r="B200" i="3" s="1"/>
  <c r="AR191" i="3"/>
  <c r="AS191" i="3" s="1"/>
  <c r="AT191" i="3" s="1"/>
  <c r="B191" i="3" s="1"/>
  <c r="AR183" i="3"/>
  <c r="AS183" i="3" s="1"/>
  <c r="AT183" i="3" s="1"/>
  <c r="B183" i="3" s="1"/>
  <c r="AR170" i="3"/>
  <c r="AS170" i="3" s="1"/>
  <c r="AT170" i="3" s="1"/>
  <c r="B170" i="3" s="1"/>
  <c r="AR167" i="3"/>
  <c r="AS167" i="3" s="1"/>
  <c r="AT167" i="3" s="1"/>
  <c r="B167" i="3" s="1"/>
  <c r="AR139" i="3"/>
  <c r="AS139" i="3" s="1"/>
  <c r="AT139" i="3" s="1"/>
  <c r="B139" i="3" s="1"/>
  <c r="AR151" i="3"/>
  <c r="AS151" i="3" s="1"/>
  <c r="AT151" i="3" s="1"/>
  <c r="B151" i="3" s="1"/>
  <c r="AR325" i="3"/>
  <c r="AS325" i="3" s="1"/>
  <c r="AT325" i="3" s="1"/>
  <c r="AZ305" i="3"/>
  <c r="AS289" i="3"/>
  <c r="AT289" i="3" s="1"/>
  <c r="B289" i="3" s="1"/>
  <c r="AS257" i="3"/>
  <c r="AT257" i="3" s="1"/>
  <c r="B257" i="3" s="1"/>
  <c r="AS225" i="3"/>
  <c r="AT225" i="3" s="1"/>
  <c r="B225" i="3" s="1"/>
  <c r="AR217" i="3"/>
  <c r="AS217" i="3" s="1"/>
  <c r="AT217" i="3" s="1"/>
  <c r="B217" i="3" s="1"/>
  <c r="AR209" i="3"/>
  <c r="AS209" i="3" s="1"/>
  <c r="AT209" i="3" s="1"/>
  <c r="B209" i="3" s="1"/>
  <c r="AR201" i="3"/>
  <c r="AS201" i="3" s="1"/>
  <c r="AT201" i="3" s="1"/>
  <c r="B201" i="3" s="1"/>
  <c r="AR192" i="3"/>
  <c r="AS192" i="3" s="1"/>
  <c r="AT192" i="3" s="1"/>
  <c r="B192" i="3" s="1"/>
  <c r="AR184" i="3"/>
  <c r="AS184" i="3" s="1"/>
  <c r="AT184" i="3" s="1"/>
  <c r="B184" i="3" s="1"/>
  <c r="AR176" i="3"/>
  <c r="AS176" i="3" s="1"/>
  <c r="AT176" i="3" s="1"/>
  <c r="B176" i="3" s="1"/>
  <c r="AR162" i="3"/>
  <c r="AS162" i="3" s="1"/>
  <c r="AT162" i="3" s="1"/>
  <c r="B162" i="3" s="1"/>
  <c r="AR159" i="3"/>
  <c r="AS159" i="3" s="1"/>
  <c r="AT159" i="3" s="1"/>
  <c r="B159" i="3" s="1"/>
  <c r="AR135" i="3"/>
  <c r="AS135" i="3" s="1"/>
  <c r="AT135" i="3" s="1"/>
  <c r="B135" i="3" s="1"/>
  <c r="AR272" i="3"/>
  <c r="AS272" i="3" s="1"/>
  <c r="AT272" i="3" s="1"/>
  <c r="B272" i="3" s="1"/>
  <c r="AS266" i="3"/>
  <c r="AT266" i="3" s="1"/>
  <c r="B266" i="3" s="1"/>
  <c r="AR249" i="3"/>
  <c r="AS249" i="3" s="1"/>
  <c r="AT249" i="3" s="1"/>
  <c r="B249" i="3" s="1"/>
  <c r="AR240" i="3"/>
  <c r="AS240" i="3" s="1"/>
  <c r="AT240" i="3" s="1"/>
  <c r="B240" i="3" s="1"/>
  <c r="AS234" i="3"/>
  <c r="AT234" i="3" s="1"/>
  <c r="B234" i="3" s="1"/>
  <c r="AS133" i="3"/>
  <c r="AT133" i="3" s="1"/>
  <c r="B133" i="3" s="1"/>
  <c r="AR123" i="3"/>
  <c r="AS123" i="3" s="1"/>
  <c r="AT123" i="3" s="1"/>
  <c r="B123" i="3" s="1"/>
  <c r="AS328" i="3"/>
  <c r="AT328" i="3" s="1"/>
  <c r="AR295" i="3"/>
  <c r="AS295" i="3" s="1"/>
  <c r="AT295" i="3" s="1"/>
  <c r="AS291" i="3"/>
  <c r="AT291" i="3" s="1"/>
  <c r="B291" i="3" s="1"/>
  <c r="AR273" i="3"/>
  <c r="AS273" i="3" s="1"/>
  <c r="AT273" i="3" s="1"/>
  <c r="B273" i="3" s="1"/>
  <c r="AS268" i="3"/>
  <c r="AT268" i="3" s="1"/>
  <c r="B268" i="3" s="1"/>
  <c r="AR264" i="3"/>
  <c r="AS264" i="3" s="1"/>
  <c r="AT264" i="3" s="1"/>
  <c r="B264" i="3" s="1"/>
  <c r="AS259" i="3"/>
  <c r="AT259" i="3" s="1"/>
  <c r="B259" i="3" s="1"/>
  <c r="AS258" i="3"/>
  <c r="AT258" i="3" s="1"/>
  <c r="B258" i="3" s="1"/>
  <c r="AR241" i="3"/>
  <c r="AS241" i="3" s="1"/>
  <c r="AT241" i="3" s="1"/>
  <c r="B241" i="3" s="1"/>
  <c r="AS236" i="3"/>
  <c r="AT236" i="3" s="1"/>
  <c r="B236" i="3" s="1"/>
  <c r="AR232" i="3"/>
  <c r="AS232" i="3" s="1"/>
  <c r="AT232" i="3" s="1"/>
  <c r="B232" i="3" s="1"/>
  <c r="AS227" i="3"/>
  <c r="AT227" i="3" s="1"/>
  <c r="B227" i="3" s="1"/>
  <c r="AS226" i="3"/>
  <c r="AT226" i="3" s="1"/>
  <c r="B226" i="3" s="1"/>
  <c r="AR163" i="3"/>
  <c r="AS163" i="3" s="1"/>
  <c r="AT163" i="3" s="1"/>
  <c r="B163" i="3" s="1"/>
  <c r="AR131" i="3"/>
  <c r="AS131" i="3" s="1"/>
  <c r="AT131" i="3" s="1"/>
  <c r="B131" i="3" s="1"/>
  <c r="AZ372" i="3"/>
  <c r="AS364" i="3"/>
  <c r="AT364" i="3" s="1"/>
  <c r="B364" i="3" s="1"/>
  <c r="AZ336" i="3"/>
  <c r="AZ330" i="3"/>
  <c r="AR304" i="3"/>
  <c r="AS304" i="3" s="1"/>
  <c r="AT304" i="3" s="1"/>
  <c r="AZ295" i="3"/>
  <c r="AS256" i="3"/>
  <c r="AT256" i="3" s="1"/>
  <c r="B256" i="3" s="1"/>
  <c r="AS384" i="3"/>
  <c r="AT384" i="3" s="1"/>
  <c r="B384" i="3" s="1"/>
  <c r="AS357" i="3"/>
  <c r="AT357" i="3" s="1"/>
  <c r="B357" i="3" s="1"/>
  <c r="AS312" i="3"/>
  <c r="AT312" i="3" s="1"/>
  <c r="AR288" i="3"/>
  <c r="AS288" i="3" s="1"/>
  <c r="AT288" i="3" s="1"/>
  <c r="B288" i="3" s="1"/>
  <c r="AS282" i="3"/>
  <c r="AT282" i="3" s="1"/>
  <c r="B282" i="3" s="1"/>
  <c r="AR265" i="3"/>
  <c r="AS265" i="3" s="1"/>
  <c r="AT265" i="3" s="1"/>
  <c r="B265" i="3" s="1"/>
  <c r="AS250" i="3"/>
  <c r="AT250" i="3" s="1"/>
  <c r="B250" i="3" s="1"/>
  <c r="AR233" i="3"/>
  <c r="AS233" i="3" s="1"/>
  <c r="AT233" i="3" s="1"/>
  <c r="B233" i="3" s="1"/>
  <c r="AR224" i="3"/>
  <c r="AS224" i="3" s="1"/>
  <c r="AT224" i="3" s="1"/>
  <c r="B224" i="3" s="1"/>
  <c r="AS218" i="3"/>
  <c r="AT218" i="3" s="1"/>
  <c r="B218" i="3" s="1"/>
  <c r="AR216" i="3"/>
  <c r="AS216" i="3" s="1"/>
  <c r="AT216" i="3" s="1"/>
  <c r="B216" i="3" s="1"/>
  <c r="AR208" i="3"/>
  <c r="AS208" i="3" s="1"/>
  <c r="AT208" i="3" s="1"/>
  <c r="B208" i="3" s="1"/>
  <c r="AS202" i="3"/>
  <c r="AT202" i="3" s="1"/>
  <c r="B202" i="3" s="1"/>
  <c r="AS193" i="3"/>
  <c r="AT193" i="3" s="1"/>
  <c r="B193" i="3" s="1"/>
  <c r="AS177" i="3"/>
  <c r="AT177" i="3" s="1"/>
  <c r="B177" i="3" s="1"/>
  <c r="AR175" i="3"/>
  <c r="AS175" i="3" s="1"/>
  <c r="AT175" i="3" s="1"/>
  <c r="B175" i="3" s="1"/>
  <c r="AR158" i="3"/>
  <c r="AS158" i="3" s="1"/>
  <c r="AT158" i="3" s="1"/>
  <c r="B158" i="3" s="1"/>
  <c r="AS143" i="3"/>
  <c r="AT143" i="3" s="1"/>
  <c r="B143" i="3" s="1"/>
  <c r="AR154" i="3"/>
  <c r="AS154" i="3" s="1"/>
  <c r="AT154" i="3" s="1"/>
  <c r="B154" i="3" s="1"/>
  <c r="AR150" i="3"/>
  <c r="AS150" i="3" s="1"/>
  <c r="AT150" i="3" s="1"/>
  <c r="B150" i="3" s="1"/>
  <c r="AR146" i="3"/>
  <c r="AS146" i="3" s="1"/>
  <c r="AT146" i="3" s="1"/>
  <c r="B146" i="3" s="1"/>
  <c r="AS125" i="3"/>
  <c r="AT125" i="3" s="1"/>
  <c r="B125" i="3" s="1"/>
  <c r="AR100" i="3"/>
  <c r="AS100" i="3" s="1"/>
  <c r="AT100" i="3" s="1"/>
  <c r="B100" i="3" s="1"/>
  <c r="AR73" i="3"/>
  <c r="AS73" i="3" s="1"/>
  <c r="AT73" i="3" s="1"/>
  <c r="B73" i="3" s="1"/>
  <c r="AS50" i="3"/>
  <c r="AT50" i="3" s="1"/>
  <c r="B50" i="3" s="1"/>
  <c r="AR117" i="3"/>
  <c r="AS117" i="3" s="1"/>
  <c r="AT117" i="3" s="1"/>
  <c r="B117" i="3" s="1"/>
  <c r="AS121" i="3"/>
  <c r="AT121" i="3" s="1"/>
  <c r="B121" i="3" s="1"/>
  <c r="AS65" i="3"/>
  <c r="AT65" i="3" s="1"/>
  <c r="B65" i="3" s="1"/>
  <c r="AZ308" i="3"/>
  <c r="AS298" i="3"/>
  <c r="AT298" i="3" s="1"/>
  <c r="AR169" i="3"/>
  <c r="AS169" i="3" s="1"/>
  <c r="AT169" i="3" s="1"/>
  <c r="B169" i="3" s="1"/>
  <c r="AR165" i="3"/>
  <c r="AS165" i="3" s="1"/>
  <c r="AT165" i="3" s="1"/>
  <c r="B165" i="3" s="1"/>
  <c r="AR161" i="3"/>
  <c r="AS161" i="3" s="1"/>
  <c r="AT161" i="3" s="1"/>
  <c r="B161" i="3" s="1"/>
  <c r="AR157" i="3"/>
  <c r="AS157" i="3" s="1"/>
  <c r="AT157" i="3" s="1"/>
  <c r="B157" i="3" s="1"/>
  <c r="AR153" i="3"/>
  <c r="AS153" i="3" s="1"/>
  <c r="AT153" i="3" s="1"/>
  <c r="B153" i="3" s="1"/>
  <c r="AR149" i="3"/>
  <c r="AS149" i="3" s="1"/>
  <c r="AT149" i="3" s="1"/>
  <c r="B149" i="3" s="1"/>
  <c r="AR145" i="3"/>
  <c r="AS145" i="3" s="1"/>
  <c r="AT145" i="3" s="1"/>
  <c r="B145" i="3" s="1"/>
  <c r="AR141" i="3"/>
  <c r="AS141" i="3" s="1"/>
  <c r="AT141" i="3" s="1"/>
  <c r="B141" i="3" s="1"/>
  <c r="AR137" i="3"/>
  <c r="AS137" i="3" s="1"/>
  <c r="AT137" i="3" s="1"/>
  <c r="B137" i="3" s="1"/>
  <c r="AR133" i="3"/>
  <c r="AR129" i="3"/>
  <c r="AS129" i="3" s="1"/>
  <c r="AT129" i="3" s="1"/>
  <c r="B129" i="3" s="1"/>
  <c r="AS91" i="3"/>
  <c r="AT91" i="3" s="1"/>
  <c r="B91" i="3" s="1"/>
  <c r="AR85" i="3"/>
  <c r="AS85" i="3" s="1"/>
  <c r="AT85" i="3" s="1"/>
  <c r="B85" i="3" s="1"/>
  <c r="AS78" i="3"/>
  <c r="AT78" i="3" s="1"/>
  <c r="B78" i="3" s="1"/>
  <c r="AR116" i="3"/>
  <c r="AS116" i="3" s="1"/>
  <c r="AT116" i="3" s="1"/>
  <c r="B116" i="3" s="1"/>
  <c r="AR111" i="3"/>
  <c r="AS111" i="3" s="1"/>
  <c r="AT111" i="3" s="1"/>
  <c r="B111" i="3" s="1"/>
  <c r="AR84" i="3"/>
  <c r="AS84" i="3" s="1"/>
  <c r="AT84" i="3" s="1"/>
  <c r="B84" i="3" s="1"/>
  <c r="AR56" i="3"/>
  <c r="AS56" i="3" s="1"/>
  <c r="AT56" i="3" s="1"/>
  <c r="B56" i="3" s="1"/>
  <c r="AR108" i="3"/>
  <c r="AS108" i="3" s="1"/>
  <c r="AT108" i="3" s="1"/>
  <c r="B108" i="3" s="1"/>
  <c r="AR103" i="3"/>
  <c r="AS103" i="3" s="1"/>
  <c r="AT103" i="3" s="1"/>
  <c r="B103" i="3" s="1"/>
  <c r="AS99" i="3"/>
  <c r="AT99" i="3" s="1"/>
  <c r="B99" i="3" s="1"/>
  <c r="AR72" i="3"/>
  <c r="AS72" i="3" s="1"/>
  <c r="AT72" i="3" s="1"/>
  <c r="B72" i="3" s="1"/>
  <c r="AR49" i="3"/>
  <c r="AS49" i="3" s="1"/>
  <c r="AT49" i="3" s="1"/>
  <c r="B49" i="3" s="1"/>
  <c r="AR43" i="3"/>
  <c r="AS43" i="3" s="1"/>
  <c r="AT43" i="3" s="1"/>
  <c r="B43" i="3" s="1"/>
  <c r="AZ726" i="3"/>
  <c r="AS115" i="3"/>
  <c r="AT115" i="3" s="1"/>
  <c r="B115" i="3" s="1"/>
  <c r="AS32" i="3"/>
  <c r="AT32" i="3" s="1"/>
  <c r="B32" i="3" s="1"/>
  <c r="AS14" i="3"/>
  <c r="AT14" i="3" s="1"/>
  <c r="B14" i="3" s="1"/>
  <c r="AR110" i="3"/>
  <c r="AS110" i="3" s="1"/>
  <c r="AT110" i="3" s="1"/>
  <c r="B110" i="3" s="1"/>
  <c r="AR107" i="3"/>
  <c r="AS107" i="3" s="1"/>
  <c r="AT107" i="3" s="1"/>
  <c r="B107" i="3" s="1"/>
  <c r="AR101" i="3"/>
  <c r="AS101" i="3" s="1"/>
  <c r="AT101" i="3" s="1"/>
  <c r="B101" i="3" s="1"/>
  <c r="AR79" i="3"/>
  <c r="AS79" i="3" s="1"/>
  <c r="AT79" i="3" s="1"/>
  <c r="B79" i="3" s="1"/>
  <c r="AR66" i="3"/>
  <c r="AS66" i="3" s="1"/>
  <c r="AT66" i="3" s="1"/>
  <c r="B66" i="3" s="1"/>
  <c r="AS48" i="3"/>
  <c r="AT48" i="3" s="1"/>
  <c r="B48" i="3" s="1"/>
  <c r="AR39" i="3"/>
  <c r="AS39" i="3" s="1"/>
  <c r="AT39" i="3" s="1"/>
  <c r="B39" i="3" s="1"/>
  <c r="AS26" i="3"/>
  <c r="AT26" i="3" s="1"/>
  <c r="B26" i="3" s="1"/>
  <c r="AR17" i="3"/>
  <c r="AS17" i="3" s="1"/>
  <c r="AT17" i="3" s="1"/>
  <c r="B17" i="3" s="1"/>
  <c r="AR114" i="3"/>
  <c r="AS114" i="3" s="1"/>
  <c r="AT114" i="3" s="1"/>
  <c r="B114" i="3" s="1"/>
  <c r="AR106" i="3"/>
  <c r="AS106" i="3" s="1"/>
  <c r="AT106" i="3" s="1"/>
  <c r="B106" i="3" s="1"/>
  <c r="AR98" i="3"/>
  <c r="AS98" i="3" s="1"/>
  <c r="AT98" i="3" s="1"/>
  <c r="B98" i="3" s="1"/>
  <c r="AR90" i="3"/>
  <c r="AS90" i="3" s="1"/>
  <c r="AT90" i="3" s="1"/>
  <c r="B90" i="3" s="1"/>
  <c r="AR82" i="3"/>
  <c r="AS82" i="3" s="1"/>
  <c r="AT82" i="3" s="1"/>
  <c r="B82" i="3" s="1"/>
  <c r="AR64" i="3"/>
  <c r="AS64" i="3" s="1"/>
  <c r="AT64" i="3" s="1"/>
  <c r="B64" i="3" s="1"/>
  <c r="AR58" i="3"/>
  <c r="AS58" i="3" s="1"/>
  <c r="AT58" i="3" s="1"/>
  <c r="B58" i="3" s="1"/>
  <c r="AR47" i="3"/>
  <c r="AS47" i="3" s="1"/>
  <c r="AT47" i="3" s="1"/>
  <c r="B47" i="3" s="1"/>
  <c r="AR35" i="3"/>
  <c r="AS35" i="3" s="1"/>
  <c r="AT35" i="3" s="1"/>
  <c r="B35" i="3" s="1"/>
  <c r="AR30" i="3"/>
  <c r="AS30" i="3" s="1"/>
  <c r="AT30" i="3" s="1"/>
  <c r="B30" i="3" s="1"/>
  <c r="AR15" i="3"/>
  <c r="AS15" i="3" s="1"/>
  <c r="AT15" i="3" s="1"/>
  <c r="B15" i="3" s="1"/>
  <c r="AR10" i="3"/>
  <c r="AS10" i="3" s="1"/>
  <c r="AT10" i="3" s="1"/>
  <c r="B10" i="3" s="1"/>
  <c r="AR54" i="3"/>
  <c r="AS54" i="3" s="1"/>
  <c r="AT54" i="3" s="1"/>
  <c r="B54" i="3" s="1"/>
  <c r="AR41" i="3"/>
  <c r="AS41" i="3" s="1"/>
  <c r="AT41" i="3" s="1"/>
  <c r="B41" i="3" s="1"/>
  <c r="AR24" i="3"/>
  <c r="AS24" i="3" s="1"/>
  <c r="AT24" i="3" s="1"/>
  <c r="B24" i="3" s="1"/>
  <c r="AR38" i="3"/>
  <c r="AS38" i="3" s="1"/>
  <c r="AT38" i="3" s="1"/>
  <c r="B38" i="3" s="1"/>
  <c r="AR25" i="3"/>
  <c r="AS25" i="3" s="1"/>
  <c r="AT25" i="3" s="1"/>
  <c r="B25" i="3" s="1"/>
  <c r="AR22" i="3"/>
  <c r="AS22" i="3" s="1"/>
  <c r="AT22" i="3" s="1"/>
  <c r="B22" i="3" s="1"/>
  <c r="AR16" i="3"/>
  <c r="AS16" i="3" s="1"/>
  <c r="AT16" i="3" s="1"/>
  <c r="B16" i="3" s="1"/>
  <c r="AR113" i="3"/>
  <c r="AS113" i="3" s="1"/>
  <c r="AT113" i="3" s="1"/>
  <c r="B113" i="3" s="1"/>
  <c r="AR105" i="3"/>
  <c r="AS105" i="3" s="1"/>
  <c r="AT105" i="3" s="1"/>
  <c r="B105" i="3" s="1"/>
  <c r="AR97" i="3"/>
  <c r="AS97" i="3" s="1"/>
  <c r="AT97" i="3" s="1"/>
  <c r="B97" i="3" s="1"/>
  <c r="AR89" i="3"/>
  <c r="AS89" i="3" s="1"/>
  <c r="AT89" i="3" s="1"/>
  <c r="B89" i="3" s="1"/>
  <c r="AR81" i="3"/>
  <c r="AS81" i="3" s="1"/>
  <c r="AT81" i="3" s="1"/>
  <c r="B81" i="3" s="1"/>
  <c r="AR75" i="3"/>
  <c r="AS75" i="3" s="1"/>
  <c r="AT75" i="3" s="1"/>
  <c r="B75" i="3" s="1"/>
  <c r="AR70" i="3"/>
  <c r="AS70" i="3" s="1"/>
  <c r="AT70" i="3" s="1"/>
  <c r="B70" i="3" s="1"/>
  <c r="AR57" i="3"/>
  <c r="AS57" i="3" s="1"/>
  <c r="AT57" i="3" s="1"/>
  <c r="B57" i="3" s="1"/>
  <c r="AR40" i="3"/>
  <c r="AS40" i="3" s="1"/>
  <c r="AT40" i="3" s="1"/>
  <c r="B40" i="3" s="1"/>
  <c r="AR34" i="3"/>
  <c r="AS34" i="3" s="1"/>
  <c r="AT34" i="3" s="1"/>
  <c r="B34" i="3" s="1"/>
  <c r="AR9" i="3"/>
  <c r="AS9" i="3" s="1"/>
  <c r="AT9" i="3" s="1"/>
  <c r="B9" i="3" s="1"/>
  <c r="AR6" i="3"/>
  <c r="AS6" i="3" s="1"/>
  <c r="AT6" i="3" s="1"/>
  <c r="B6" i="3" s="1"/>
  <c r="AZ393" i="3"/>
  <c r="E9" i="7"/>
  <c r="B8" i="7"/>
  <c r="B9" i="7"/>
  <c r="E8" i="7"/>
  <c r="AZ352" i="3"/>
  <c r="AR77" i="3"/>
  <c r="AS77" i="3" s="1"/>
  <c r="AT77" i="3" s="1"/>
  <c r="B77" i="3" s="1"/>
  <c r="AR69" i="3"/>
  <c r="AS69" i="3" s="1"/>
  <c r="AT69" i="3" s="1"/>
  <c r="B69" i="3" s="1"/>
  <c r="AR61" i="3"/>
  <c r="AS61" i="3" s="1"/>
  <c r="AT61" i="3" s="1"/>
  <c r="B61" i="3" s="1"/>
  <c r="AR53" i="3"/>
  <c r="AS53" i="3" s="1"/>
  <c r="AT53" i="3" s="1"/>
  <c r="B53" i="3" s="1"/>
  <c r="AR45" i="3"/>
  <c r="AS45" i="3" s="1"/>
  <c r="AT45" i="3" s="1"/>
  <c r="B45" i="3" s="1"/>
  <c r="AR37" i="3"/>
  <c r="AS37" i="3" s="1"/>
  <c r="AT37" i="3" s="1"/>
  <c r="B37" i="3" s="1"/>
  <c r="AR29" i="3"/>
  <c r="AS29" i="3" s="1"/>
  <c r="AT29" i="3" s="1"/>
  <c r="B29" i="3" s="1"/>
  <c r="AR21" i="3"/>
  <c r="AS21" i="3" s="1"/>
  <c r="AT21" i="3" s="1"/>
  <c r="B21" i="3" s="1"/>
  <c r="AR13" i="3"/>
  <c r="AS13" i="3" s="1"/>
  <c r="AT13" i="3" s="1"/>
  <c r="B13" i="3" s="1"/>
  <c r="AR5" i="3"/>
  <c r="AS5" i="3" s="1"/>
  <c r="AT5" i="3" s="1"/>
  <c r="B5" i="3" s="1"/>
  <c r="AZ350" i="3"/>
  <c r="C41" i="4"/>
  <c r="B43" i="4" s="1"/>
  <c r="B44" i="4" s="1"/>
  <c r="B45" i="4" s="1"/>
  <c r="AZ355" i="3"/>
  <c r="AZ351" i="3"/>
  <c r="C53" i="5"/>
  <c r="B55" i="5" s="1"/>
  <c r="C122" i="1"/>
  <c r="C129" i="1" s="1"/>
  <c r="E123" i="1"/>
  <c r="C123" i="1"/>
  <c r="G123" i="1"/>
  <c r="AZ407" i="3"/>
  <c r="D36" i="7"/>
  <c r="H123" i="1"/>
  <c r="C135" i="1"/>
  <c r="G135" i="1"/>
  <c r="G125" i="1"/>
  <c r="I128" i="1"/>
  <c r="C125" i="1"/>
  <c r="D130" i="1"/>
  <c r="C185" i="1"/>
  <c r="B32" i="5"/>
  <c r="B74" i="5"/>
  <c r="I57" i="1" s="1"/>
  <c r="D183" i="1"/>
  <c r="B77" i="5"/>
  <c r="C57" i="1" s="1"/>
  <c r="B61" i="4"/>
  <c r="E61" i="4" s="1"/>
  <c r="C65" i="4" s="1"/>
  <c r="B67" i="4" s="1"/>
  <c r="B11" i="6"/>
  <c r="E8" i="6"/>
  <c r="E9" i="8"/>
  <c r="E9" i="6"/>
  <c r="B49" i="4"/>
  <c r="E49" i="4" s="1"/>
  <c r="C53" i="4" s="1"/>
  <c r="B55" i="4" s="1"/>
  <c r="B57" i="4" s="1"/>
  <c r="B25" i="4"/>
  <c r="B45" i="6" l="1"/>
  <c r="B10" i="8"/>
  <c r="B69" i="5"/>
  <c r="B68" i="5"/>
  <c r="C41" i="5"/>
  <c r="B43" i="5" s="1"/>
  <c r="B44" i="5" s="1"/>
  <c r="B45" i="5" s="1"/>
  <c r="E39" i="5"/>
  <c r="C53" i="8"/>
  <c r="D71" i="8" s="1"/>
  <c r="C67" i="6"/>
  <c r="B47" i="6"/>
  <c r="B46" i="6"/>
  <c r="B77" i="4"/>
  <c r="C36" i="1" s="1"/>
  <c r="M67" i="6"/>
  <c r="B68" i="4"/>
  <c r="B75" i="4" s="1"/>
  <c r="I40" i="1" s="1"/>
  <c r="B69" i="4"/>
  <c r="B76" i="4" s="1"/>
  <c r="I37" i="1" s="1"/>
  <c r="I38" i="1" s="1"/>
  <c r="E67" i="6"/>
  <c r="B56" i="5"/>
  <c r="B57" i="5"/>
  <c r="C131" i="1"/>
  <c r="C132" i="1" s="1"/>
  <c r="C133" i="1"/>
  <c r="C134" i="1" s="1"/>
  <c r="C136" i="1" s="1"/>
  <c r="C137" i="1" s="1"/>
  <c r="D188" i="1"/>
  <c r="D133" i="1"/>
  <c r="E188" i="1"/>
  <c r="G133" i="1"/>
  <c r="H188" i="1"/>
  <c r="J133" i="1"/>
  <c r="I133" i="1"/>
  <c r="C188" i="1"/>
  <c r="H133" i="1"/>
  <c r="I188" i="1"/>
  <c r="F133" i="1"/>
  <c r="F188" i="1"/>
  <c r="G188" i="1"/>
  <c r="E133" i="1"/>
  <c r="H46" i="6"/>
  <c r="C28" i="6"/>
  <c r="P67" i="6"/>
  <c r="J67" i="6"/>
  <c r="L67" i="6"/>
  <c r="G67" i="6"/>
  <c r="O67" i="6"/>
  <c r="I67" i="6"/>
  <c r="B67" i="6"/>
  <c r="N67" i="6"/>
  <c r="B23" i="8"/>
  <c r="B74" i="4"/>
  <c r="I36" i="1" s="1"/>
  <c r="B33" i="5"/>
  <c r="B76" i="5" s="1"/>
  <c r="I58" i="1" s="1"/>
  <c r="I59" i="1" s="1"/>
  <c r="C142" i="1" s="1"/>
  <c r="C143" i="1" s="1"/>
  <c r="B75" i="5"/>
  <c r="I61" i="1" s="1"/>
  <c r="C25" i="7"/>
  <c r="E25" i="4"/>
  <c r="C29" i="4"/>
  <c r="B31" i="4" s="1"/>
  <c r="B32" i="4" s="1"/>
  <c r="B33" i="4" s="1"/>
  <c r="D67" i="6"/>
  <c r="F67" i="6"/>
  <c r="K67" i="6"/>
  <c r="H67" i="6"/>
  <c r="B56" i="4"/>
  <c r="C124" i="1"/>
  <c r="C138" i="1" s="1"/>
  <c r="C78" i="6"/>
  <c r="C126" i="1" l="1"/>
  <c r="C127" i="1" s="1"/>
  <c r="C139" i="1" s="1"/>
  <c r="B17" i="6"/>
  <c r="B16" i="8"/>
  <c r="B14" i="7"/>
  <c r="B17" i="8"/>
  <c r="B18" i="6"/>
  <c r="B15" i="7"/>
  <c r="C140" i="1"/>
  <c r="C141" i="1" s="1"/>
  <c r="D96" i="6"/>
  <c r="C147" i="1"/>
  <c r="B22" i="7" l="1"/>
  <c r="B26" i="8"/>
  <c r="J23" i="8"/>
  <c r="K23" i="8" s="1"/>
  <c r="B46" i="8"/>
  <c r="B48" i="8" s="1"/>
  <c r="I24" i="8"/>
  <c r="K24" i="8" s="1"/>
  <c r="B91" i="6"/>
  <c r="B92" i="6"/>
  <c r="B49" i="6"/>
  <c r="B71" i="6"/>
  <c r="B73" i="6" s="1"/>
  <c r="B25" i="6"/>
  <c r="G86" i="1" l="1"/>
  <c r="D38" i="7"/>
  <c r="C28" i="7"/>
  <c r="C34" i="7"/>
  <c r="C31" i="7"/>
  <c r="B93" i="6"/>
  <c r="D99" i="6" s="1"/>
  <c r="C38" i="7"/>
  <c r="B42" i="8"/>
  <c r="B41" i="8"/>
  <c r="B43" i="8"/>
  <c r="D28" i="8"/>
  <c r="B30" i="8" s="1"/>
  <c r="D30" i="8" s="1"/>
  <c r="C34" i="8" s="1"/>
  <c r="B67" i="8"/>
  <c r="B66" i="8"/>
  <c r="D26" i="8"/>
  <c r="E79" i="8" s="1"/>
  <c r="B44" i="8"/>
  <c r="B64" i="6"/>
  <c r="B69" i="6" s="1"/>
  <c r="B66" i="6"/>
  <c r="B65" i="6"/>
  <c r="C31" i="6"/>
  <c r="C34" i="6"/>
  <c r="C37" i="6"/>
  <c r="D49" i="6"/>
  <c r="J45" i="6"/>
  <c r="K45" i="6" s="1"/>
  <c r="B68" i="6"/>
  <c r="I47" i="6"/>
  <c r="K47" i="6" s="1"/>
  <c r="J46" i="6"/>
  <c r="K46" i="6" s="1"/>
  <c r="B75" i="6" l="1"/>
  <c r="B45" i="8"/>
  <c r="B49" i="8" s="1"/>
  <c r="C46" i="8" s="1"/>
  <c r="B70" i="6"/>
  <c r="B74" i="6" s="1"/>
  <c r="C71" i="6" s="1"/>
  <c r="D51" i="6"/>
  <c r="B53" i="6" s="1"/>
  <c r="D53" i="6" s="1"/>
  <c r="C57" i="6" s="1"/>
  <c r="B50" i="8"/>
  <c r="C39" i="6"/>
  <c r="B68" i="8"/>
  <c r="D74" i="8" s="1"/>
  <c r="E104" i="6" l="1"/>
  <c r="C47" i="8"/>
  <c r="C48" i="8" s="1"/>
  <c r="C72" i="6"/>
  <c r="C73" i="6" s="1"/>
  <c r="C64" i="6" l="1"/>
  <c r="C69" i="6" s="1"/>
  <c r="C65" i="6"/>
  <c r="C66" i="6"/>
  <c r="C68" i="6"/>
  <c r="C42" i="8"/>
  <c r="C41" i="8"/>
  <c r="C44" i="8"/>
  <c r="C43" i="8"/>
  <c r="C75" i="6" l="1"/>
  <c r="C70" i="6"/>
  <c r="C74" i="6" s="1"/>
  <c r="D71" i="6" s="1"/>
  <c r="C45" i="8"/>
  <c r="C49" i="8" s="1"/>
  <c r="C50" i="8"/>
  <c r="D72" i="6" l="1"/>
  <c r="D73" i="6"/>
  <c r="D46" i="8"/>
  <c r="D47" i="8"/>
  <c r="D48" i="8" l="1"/>
  <c r="D64" i="6"/>
  <c r="D69" i="6" s="1"/>
  <c r="D65" i="6"/>
  <c r="D66" i="6"/>
  <c r="D68" i="6"/>
  <c r="D70" i="6" l="1"/>
  <c r="D74" i="6" s="1"/>
  <c r="E72" i="6" s="1"/>
  <c r="D75" i="6"/>
  <c r="D42" i="8"/>
  <c r="D41" i="8"/>
  <c r="D44" i="8"/>
  <c r="D43" i="8"/>
  <c r="E71" i="6" l="1"/>
  <c r="D45" i="8"/>
  <c r="D49" i="8" s="1"/>
  <c r="D50" i="8"/>
  <c r="E73" i="6"/>
  <c r="E64" i="6" l="1"/>
  <c r="E69" i="6" s="1"/>
  <c r="E66" i="6"/>
  <c r="E65" i="6"/>
  <c r="E68" i="6"/>
  <c r="E47" i="8"/>
  <c r="E46" i="8"/>
  <c r="E75" i="6" l="1"/>
  <c r="E70" i="6"/>
  <c r="E74" i="6" s="1"/>
  <c r="F71" i="6" s="1"/>
  <c r="E48" i="8"/>
  <c r="E42" i="8" s="1"/>
  <c r="F72" i="6" l="1"/>
  <c r="F73" i="6" s="1"/>
  <c r="E44" i="8"/>
  <c r="E41" i="8"/>
  <c r="E43" i="8"/>
  <c r="E45" i="8" s="1"/>
  <c r="E49" i="8" s="1"/>
  <c r="E50" i="8"/>
  <c r="F47" i="8" l="1"/>
  <c r="F46" i="8"/>
  <c r="F64" i="6"/>
  <c r="F69" i="6" s="1"/>
  <c r="F65" i="6"/>
  <c r="F66" i="6"/>
  <c r="F68" i="6"/>
  <c r="F75" i="6" l="1"/>
  <c r="F70" i="6"/>
  <c r="F74" i="6" s="1"/>
  <c r="G72" i="6" s="1"/>
  <c r="F48" i="8"/>
  <c r="F41" i="8" s="1"/>
  <c r="F44" i="8"/>
  <c r="F43" i="8" l="1"/>
  <c r="F42" i="8"/>
  <c r="G71" i="6"/>
  <c r="G73" i="6" s="1"/>
  <c r="F50" i="8"/>
  <c r="F45" i="8"/>
  <c r="F49" i="8" s="1"/>
  <c r="G64" i="6" l="1"/>
  <c r="G69" i="6" s="1"/>
  <c r="G66" i="6"/>
  <c r="G68" i="6"/>
  <c r="G65" i="6"/>
  <c r="G47" i="8"/>
  <c r="G46" i="8"/>
  <c r="G75" i="6" l="1"/>
  <c r="G70" i="6"/>
  <c r="G74" i="6" s="1"/>
  <c r="H72" i="6" s="1"/>
  <c r="G48" i="8"/>
  <c r="G43" i="8" s="1"/>
  <c r="G44" i="8"/>
  <c r="H71" i="6" l="1"/>
  <c r="H73" i="6" s="1"/>
  <c r="H64" i="6"/>
  <c r="H69" i="6" s="1"/>
  <c r="H66" i="6"/>
  <c r="H68" i="6"/>
  <c r="H65" i="6"/>
  <c r="H75" i="6" s="1"/>
  <c r="G41" i="8"/>
  <c r="G42" i="8"/>
  <c r="H70" i="6"/>
  <c r="H74" i="6" s="1"/>
  <c r="I71" i="6" s="1"/>
  <c r="G45" i="8" l="1"/>
  <c r="G49" i="8" s="1"/>
  <c r="G50" i="8"/>
  <c r="I72" i="6"/>
  <c r="I73" i="6" s="1"/>
  <c r="H46" i="8"/>
  <c r="H47" i="8"/>
  <c r="I65" i="6" l="1"/>
  <c r="I66" i="6"/>
  <c r="I68" i="6"/>
  <c r="I64" i="6"/>
  <c r="I69" i="6" s="1"/>
  <c r="I70" i="6"/>
  <c r="I74" i="6" s="1"/>
  <c r="J71" i="6" s="1"/>
  <c r="H48" i="8"/>
  <c r="I75" i="6" l="1"/>
  <c r="J72" i="6"/>
  <c r="H42" i="8"/>
  <c r="H41" i="8"/>
  <c r="H44" i="8"/>
  <c r="H43" i="8"/>
  <c r="J73" i="6"/>
  <c r="J64" i="6" l="1"/>
  <c r="J69" i="6" s="1"/>
  <c r="J66" i="6"/>
  <c r="J65" i="6"/>
  <c r="J75" i="6" s="1"/>
  <c r="J68" i="6"/>
  <c r="H45" i="8"/>
  <c r="H49" i="8" s="1"/>
  <c r="H50" i="8"/>
  <c r="J70" i="6" l="1"/>
  <c r="J74" i="6" s="1"/>
  <c r="K71" i="6" s="1"/>
  <c r="I46" i="8"/>
  <c r="I47" i="8"/>
  <c r="K72" i="6" l="1"/>
  <c r="K73" i="6" s="1"/>
  <c r="I48" i="8"/>
  <c r="I42" i="8" l="1"/>
  <c r="I41" i="8"/>
  <c r="I43" i="8"/>
  <c r="I44" i="8"/>
  <c r="K64" i="6"/>
  <c r="K69" i="6" s="1"/>
  <c r="K66" i="6"/>
  <c r="K65" i="6"/>
  <c r="K68" i="6"/>
  <c r="K75" i="6" l="1"/>
  <c r="K70" i="6"/>
  <c r="K74" i="6" s="1"/>
  <c r="L72" i="6" s="1"/>
  <c r="I50" i="8"/>
  <c r="I45" i="8"/>
  <c r="I49" i="8" s="1"/>
  <c r="L71" i="6" l="1"/>
  <c r="L73" i="6" s="1"/>
  <c r="J47" i="8"/>
  <c r="J46" i="8"/>
  <c r="J48" i="8" l="1"/>
  <c r="J41" i="8" s="1"/>
  <c r="J42" i="8"/>
  <c r="J44" i="8"/>
  <c r="J43" i="8"/>
  <c r="L64" i="6"/>
  <c r="L69" i="6" s="1"/>
  <c r="L65" i="6"/>
  <c r="L66" i="6"/>
  <c r="L68" i="6"/>
  <c r="L70" i="6" l="1"/>
  <c r="L74" i="6" s="1"/>
  <c r="M72" i="6" s="1"/>
  <c r="L75" i="6"/>
  <c r="J50" i="8"/>
  <c r="J45" i="8"/>
  <c r="J49" i="8" s="1"/>
  <c r="M71" i="6" l="1"/>
  <c r="M73" i="6" s="1"/>
  <c r="K46" i="8"/>
  <c r="K47" i="8"/>
  <c r="M64" i="6" l="1"/>
  <c r="M69" i="6" s="1"/>
  <c r="M65" i="6"/>
  <c r="M66" i="6"/>
  <c r="M68" i="6"/>
  <c r="K48" i="8"/>
  <c r="M75" i="6" l="1"/>
  <c r="M70" i="6"/>
  <c r="M74" i="6" s="1"/>
  <c r="N72" i="6" s="1"/>
  <c r="K42" i="8"/>
  <c r="K41" i="8"/>
  <c r="K44" i="8"/>
  <c r="K43" i="8"/>
  <c r="N71" i="6" l="1"/>
  <c r="N73" i="6"/>
  <c r="K45" i="8"/>
  <c r="K49" i="8" s="1"/>
  <c r="K50" i="8"/>
  <c r="L46" i="8" l="1"/>
  <c r="L47" i="8"/>
  <c r="N64" i="6"/>
  <c r="N69" i="6" s="1"/>
  <c r="N65" i="6"/>
  <c r="N66" i="6"/>
  <c r="N68" i="6"/>
  <c r="N75" i="6" l="1"/>
  <c r="N70" i="6"/>
  <c r="N74" i="6" s="1"/>
  <c r="O72" i="6" s="1"/>
  <c r="L48" i="8"/>
  <c r="O71" i="6" l="1"/>
  <c r="O73" i="6" s="1"/>
  <c r="L42" i="8"/>
  <c r="L41" i="8"/>
  <c r="L44" i="8"/>
  <c r="L43" i="8"/>
  <c r="O64" i="6" l="1"/>
  <c r="O69" i="6" s="1"/>
  <c r="O65" i="6"/>
  <c r="O68" i="6"/>
  <c r="O66" i="6"/>
  <c r="L45" i="8"/>
  <c r="L49" i="8" s="1"/>
  <c r="L50" i="8"/>
  <c r="O75" i="6" l="1"/>
  <c r="O70" i="6"/>
  <c r="O74" i="6" s="1"/>
  <c r="P72" i="6" s="1"/>
  <c r="M46" i="8"/>
  <c r="M47" i="8"/>
  <c r="P71" i="6" l="1"/>
  <c r="P73" i="6" s="1"/>
  <c r="P66" i="6" s="1"/>
  <c r="P65" i="6"/>
  <c r="P64" i="6"/>
  <c r="P69" i="6" s="1"/>
  <c r="P68" i="6"/>
  <c r="M48" i="8"/>
  <c r="P75" i="6" l="1"/>
  <c r="C81" i="6" s="1"/>
  <c r="C84" i="6"/>
  <c r="C86" i="6"/>
  <c r="E86" i="6" s="1"/>
  <c r="P70" i="6"/>
  <c r="P74" i="6" s="1"/>
  <c r="M41" i="8"/>
  <c r="M42" i="8"/>
  <c r="M43" i="8"/>
  <c r="M44" i="8"/>
  <c r="D101" i="6" l="1"/>
  <c r="D104" i="6" s="1"/>
  <c r="M50" i="8"/>
  <c r="M45" i="8"/>
  <c r="M49" i="8" s="1"/>
  <c r="N46" i="8" l="1"/>
  <c r="N47" i="8"/>
  <c r="N48" i="8" l="1"/>
  <c r="N42" i="8" l="1"/>
  <c r="N41" i="8"/>
  <c r="N43" i="8"/>
  <c r="N44" i="8"/>
  <c r="N45" i="8" l="1"/>
  <c r="N49" i="8" s="1"/>
  <c r="N50" i="8"/>
  <c r="O47" i="8" l="1"/>
  <c r="O46" i="8"/>
  <c r="O48" i="8" l="1"/>
  <c r="O42" i="8" s="1"/>
  <c r="O44" i="8" l="1"/>
  <c r="O43" i="8"/>
  <c r="O41" i="8"/>
  <c r="O45" i="8"/>
  <c r="O49" i="8" s="1"/>
  <c r="O50" i="8"/>
  <c r="P46" i="8" l="1"/>
  <c r="P47" i="8"/>
  <c r="P48" i="8" l="1"/>
  <c r="P42" i="8" l="1"/>
  <c r="P41" i="8"/>
  <c r="P44" i="8"/>
  <c r="P43" i="8"/>
  <c r="P45" i="8" l="1"/>
  <c r="P49" i="8" s="1"/>
  <c r="P50" i="8"/>
  <c r="C56" i="8" l="1"/>
  <c r="C59" i="8"/>
  <c r="C61" i="8" l="1"/>
  <c r="D76" i="8" s="1"/>
  <c r="E61" i="8" l="1"/>
  <c r="F87" i="1"/>
  <c r="E92" i="1" s="1"/>
  <c r="D79" i="8"/>
  <c r="E93" i="1" l="1"/>
  <c r="C149" i="1" s="1"/>
  <c r="A101" i="1"/>
  <c r="C148" i="1"/>
  <c r="C155" i="1" l="1"/>
  <c r="C144" i="1"/>
  <c r="C145" i="1"/>
  <c r="D119" i="1" s="1"/>
  <c r="C146" i="1" l="1"/>
  <c r="D152" i="1"/>
  <c r="D151" i="1"/>
  <c r="D153" i="1"/>
  <c r="D154" i="1"/>
  <c r="D150" i="1"/>
  <c r="D120" i="1" l="1"/>
  <c r="D121" i="1"/>
  <c r="D122" i="1" l="1"/>
  <c r="D129" i="1" s="1"/>
  <c r="D138" i="1" l="1"/>
  <c r="D134" i="1"/>
  <c r="D136" i="1" s="1"/>
  <c r="D137" i="1" s="1"/>
  <c r="D124" i="1"/>
  <c r="D126" i="1" s="1"/>
  <c r="D127" i="1" s="1"/>
  <c r="D139" i="1" s="1"/>
  <c r="D142" i="1"/>
  <c r="D140" i="1"/>
  <c r="D131" i="1"/>
  <c r="D132" i="1" s="1"/>
  <c r="D141" i="1" l="1"/>
  <c r="D149" i="1" s="1"/>
  <c r="D147" i="1"/>
  <c r="D143" i="1"/>
  <c r="D148" i="1" s="1"/>
  <c r="D144" i="1" l="1"/>
  <c r="D145" i="1"/>
  <c r="D155" i="1"/>
  <c r="D146" i="1" l="1"/>
  <c r="E119" i="1" s="1"/>
  <c r="F118" i="1" s="1"/>
  <c r="E150" i="1" l="1"/>
  <c r="E153" i="1"/>
  <c r="E151" i="1"/>
  <c r="E154" i="1"/>
  <c r="E152" i="1"/>
  <c r="E121" i="1" s="1"/>
  <c r="F119" i="1"/>
  <c r="F151" i="1" s="1"/>
  <c r="E120" i="1"/>
  <c r="F152" i="1" l="1"/>
  <c r="F154" i="1"/>
  <c r="F150" i="1"/>
  <c r="F153" i="1"/>
  <c r="E122" i="1"/>
  <c r="E129" i="1" s="1"/>
  <c r="F121" i="1"/>
  <c r="E124" i="1"/>
  <c r="E126" i="1" s="1"/>
  <c r="E127" i="1" s="1"/>
  <c r="F120" i="1" l="1"/>
  <c r="E138" i="1"/>
  <c r="F122" i="1"/>
  <c r="F129" i="1" s="1"/>
  <c r="E134" i="1"/>
  <c r="E136" i="1" s="1"/>
  <c r="E137" i="1" s="1"/>
  <c r="E139" i="1"/>
  <c r="F138" i="1"/>
  <c r="F134" i="1"/>
  <c r="F136" i="1" s="1"/>
  <c r="F137" i="1" s="1"/>
  <c r="E142" i="1"/>
  <c r="E140" i="1"/>
  <c r="E131" i="1"/>
  <c r="E132" i="1" s="1"/>
  <c r="F124" i="1" l="1"/>
  <c r="F126" i="1" s="1"/>
  <c r="F127" i="1" s="1"/>
  <c r="F139" i="1"/>
  <c r="E141" i="1"/>
  <c r="E149" i="1" s="1"/>
  <c r="E143" i="1"/>
  <c r="E148" i="1" s="1"/>
  <c r="F142" i="1"/>
  <c r="F131" i="1"/>
  <c r="F132" i="1" s="1"/>
  <c r="F140" i="1"/>
  <c r="E147" i="1"/>
  <c r="F141" i="1" l="1"/>
  <c r="F149" i="1" s="1"/>
  <c r="E144" i="1"/>
  <c r="E155" i="1"/>
  <c r="E145" i="1"/>
  <c r="F143" i="1"/>
  <c r="F148" i="1" s="1"/>
  <c r="F147" i="1"/>
  <c r="F144" i="1" l="1"/>
  <c r="E146" i="1"/>
  <c r="F155" i="1"/>
  <c r="F145" i="1"/>
  <c r="F146" i="1" l="1"/>
  <c r="G118" i="1" l="1"/>
  <c r="G119" i="1" s="1"/>
  <c r="G150" i="1" s="1"/>
  <c r="G152" i="1"/>
  <c r="G153" i="1"/>
  <c r="G154" i="1"/>
  <c r="G151" i="1" l="1"/>
  <c r="G121" i="1"/>
  <c r="G120" i="1"/>
  <c r="G122" i="1" l="1"/>
  <c r="G129" i="1"/>
  <c r="G134" i="1"/>
  <c r="G136" i="1" s="1"/>
  <c r="G137" i="1" s="1"/>
  <c r="G124" i="1"/>
  <c r="G126" i="1" s="1"/>
  <c r="G127" i="1" s="1"/>
  <c r="G138" i="1"/>
  <c r="G131" i="1"/>
  <c r="G132" i="1" s="1"/>
  <c r="G140" i="1"/>
  <c r="G142" i="1"/>
  <c r="G143" i="1" s="1"/>
  <c r="G148" i="1" s="1"/>
  <c r="G139" i="1" l="1"/>
  <c r="G141" i="1"/>
  <c r="G149" i="1" s="1"/>
  <c r="G147" i="1"/>
  <c r="G144" i="1" l="1"/>
  <c r="G145" i="1"/>
  <c r="G155" i="1"/>
  <c r="G146" i="1" l="1"/>
  <c r="H118" i="1" s="1"/>
  <c r="H117" i="1" l="1"/>
  <c r="H119" i="1" s="1"/>
  <c r="H150" i="1" s="1"/>
  <c r="H154" i="1" l="1"/>
  <c r="H152" i="1"/>
  <c r="H153" i="1"/>
  <c r="H151" i="1"/>
  <c r="H120" i="1" l="1"/>
  <c r="H121" i="1"/>
  <c r="H122" i="1" l="1"/>
  <c r="H129" i="1" s="1"/>
  <c r="H138" i="1"/>
  <c r="H124" i="1" l="1"/>
  <c r="H126" i="1" s="1"/>
  <c r="H127" i="1" s="1"/>
  <c r="H139" i="1" s="1"/>
  <c r="H134" i="1"/>
  <c r="H136" i="1" s="1"/>
  <c r="H137" i="1" s="1"/>
  <c r="H131" i="1"/>
  <c r="H132" i="1" s="1"/>
  <c r="H140" i="1"/>
  <c r="H142" i="1"/>
  <c r="H143" i="1" l="1"/>
  <c r="H148" i="1" s="1"/>
  <c r="H141" i="1"/>
  <c r="H149" i="1" s="1"/>
  <c r="H147" i="1"/>
  <c r="H145" i="1" l="1"/>
  <c r="H144" i="1"/>
  <c r="H155" i="1"/>
  <c r="H146" i="1" l="1"/>
  <c r="I117" i="1" s="1"/>
  <c r="I118" i="1"/>
  <c r="I119" i="1" l="1"/>
  <c r="I150" i="1" l="1"/>
  <c r="I152" i="1"/>
  <c r="I153" i="1"/>
  <c r="I154" i="1"/>
  <c r="I151" i="1"/>
  <c r="I120" i="1" l="1"/>
  <c r="I121" i="1"/>
  <c r="I122" i="1"/>
  <c r="I138" i="1" l="1"/>
  <c r="I124" i="1"/>
  <c r="I126" i="1" s="1"/>
  <c r="I127" i="1" s="1"/>
  <c r="I134" i="1"/>
  <c r="I136" i="1" s="1"/>
  <c r="I137" i="1" s="1"/>
  <c r="I129" i="1"/>
  <c r="I131" i="1" l="1"/>
  <c r="I132" i="1" s="1"/>
  <c r="I142" i="1"/>
  <c r="I143" i="1" s="1"/>
  <c r="I148" i="1" s="1"/>
  <c r="I140" i="1"/>
  <c r="I141" i="1" s="1"/>
  <c r="I149" i="1" s="1"/>
  <c r="I139" i="1"/>
  <c r="I147" i="1" l="1"/>
  <c r="I155" i="1" s="1"/>
  <c r="I144" i="1"/>
  <c r="I145" i="1"/>
  <c r="I146" i="1" s="1"/>
  <c r="J118" i="1" l="1"/>
  <c r="J117" i="1"/>
  <c r="J119" i="1" s="1"/>
  <c r="J150" i="1" l="1"/>
  <c r="J154" i="1"/>
  <c r="J152" i="1"/>
  <c r="J151" i="1"/>
  <c r="J153" i="1"/>
  <c r="J120" i="1"/>
  <c r="J121" i="1"/>
  <c r="J122" i="1" s="1"/>
  <c r="J129" i="1" l="1"/>
  <c r="J138" i="1"/>
  <c r="J124" i="1"/>
  <c r="J126" i="1" s="1"/>
  <c r="J127" i="1" s="1"/>
  <c r="J134" i="1"/>
  <c r="J136" i="1" s="1"/>
  <c r="J137" i="1" s="1"/>
  <c r="J139" i="1" l="1"/>
  <c r="J142" i="1"/>
  <c r="J131" i="1"/>
  <c r="J132" i="1" s="1"/>
  <c r="J147" i="1" s="1"/>
  <c r="J140" i="1"/>
  <c r="J141" i="1" l="1"/>
  <c r="J143" i="1"/>
  <c r="J148" i="1" l="1"/>
  <c r="J145" i="1"/>
  <c r="J149" i="1"/>
  <c r="J155" i="1" s="1"/>
  <c r="J144" i="1"/>
  <c r="J146" i="1" l="1"/>
  <c r="C172" i="1"/>
  <c r="C173" i="1"/>
  <c r="C174" i="1" l="1"/>
  <c r="C208" i="1" l="1"/>
  <c r="C209" i="1"/>
  <c r="C205" i="1"/>
  <c r="C206" i="1"/>
  <c r="C175" i="1" s="1"/>
  <c r="C207" i="1"/>
  <c r="C176" i="1" l="1"/>
  <c r="C177" i="1" s="1"/>
  <c r="C184" i="1" l="1"/>
  <c r="C189" i="1"/>
  <c r="C191" i="1" s="1"/>
  <c r="C192" i="1" s="1"/>
  <c r="C193" i="1"/>
  <c r="C179" i="1"/>
  <c r="C181" i="1" s="1"/>
  <c r="C182" i="1" s="1"/>
  <c r="C194" i="1" s="1"/>
  <c r="C197" i="1" l="1"/>
  <c r="C186" i="1"/>
  <c r="C187" i="1" s="1"/>
  <c r="C195" i="1"/>
  <c r="C196" i="1" l="1"/>
  <c r="C204" i="1" s="1"/>
  <c r="C202" i="1"/>
  <c r="C199" i="1"/>
  <c r="C198" i="1"/>
  <c r="C203" i="1" s="1"/>
  <c r="C210" i="1" s="1"/>
  <c r="C200" i="1" l="1"/>
  <c r="C201" i="1" s="1"/>
  <c r="D173" i="1" l="1"/>
  <c r="D172" i="1"/>
  <c r="D174" i="1" s="1"/>
  <c r="D206" i="1" l="1"/>
  <c r="D205" i="1"/>
  <c r="D207" i="1"/>
  <c r="D208" i="1"/>
  <c r="D209" i="1"/>
  <c r="D175" i="1" l="1"/>
  <c r="D176" i="1"/>
  <c r="D177" i="1" s="1"/>
  <c r="D184" i="1" l="1"/>
  <c r="D179" i="1"/>
  <c r="D181" i="1" s="1"/>
  <c r="D182" i="1" s="1"/>
  <c r="D193" i="1"/>
  <c r="D194" i="1" s="1"/>
  <c r="D189" i="1"/>
  <c r="D191" i="1" s="1"/>
  <c r="D192" i="1" s="1"/>
  <c r="D195" i="1" l="1"/>
  <c r="D197" i="1"/>
  <c r="D186" i="1"/>
  <c r="D187" i="1" s="1"/>
  <c r="D202" i="1" s="1"/>
  <c r="D198" i="1" l="1"/>
  <c r="D196" i="1"/>
  <c r="D204" i="1" l="1"/>
  <c r="D199" i="1"/>
  <c r="D203" i="1"/>
  <c r="D200" i="1"/>
  <c r="D201" i="1" s="1"/>
  <c r="E173" i="1" l="1"/>
  <c r="E172" i="1"/>
  <c r="D210" i="1"/>
  <c r="E174" i="1" l="1"/>
  <c r="E206" i="1" l="1"/>
  <c r="E205" i="1"/>
  <c r="E209" i="1"/>
  <c r="E176" i="1" s="1"/>
  <c r="E207" i="1"/>
  <c r="E208" i="1"/>
  <c r="E175" i="1" l="1"/>
  <c r="E177" i="1" s="1"/>
  <c r="E193" i="1"/>
  <c r="E179" i="1"/>
  <c r="E181" i="1" s="1"/>
  <c r="E182" i="1" s="1"/>
  <c r="E189" i="1"/>
  <c r="E191" i="1" s="1"/>
  <c r="E192" i="1" s="1"/>
  <c r="E184" i="1"/>
  <c r="E186" i="1" l="1"/>
  <c r="E187" i="1" s="1"/>
  <c r="E202" i="1" s="1"/>
  <c r="E195" i="1"/>
  <c r="E196" i="1" s="1"/>
  <c r="E204" i="1" s="1"/>
  <c r="E197" i="1"/>
  <c r="E198" i="1" s="1"/>
  <c r="E203" i="1" s="1"/>
  <c r="E194" i="1"/>
  <c r="E199" i="1" s="1"/>
  <c r="E210" i="1" l="1"/>
  <c r="E200" i="1"/>
  <c r="E201" i="1" s="1"/>
  <c r="F172" i="1" l="1"/>
  <c r="F173" i="1"/>
  <c r="F174" i="1" s="1"/>
  <c r="F207" i="1" l="1"/>
  <c r="F206" i="1"/>
  <c r="F209" i="1"/>
  <c r="F205" i="1"/>
  <c r="F208" i="1"/>
  <c r="F175" i="1" l="1"/>
  <c r="F176" i="1"/>
  <c r="F177" i="1" s="1"/>
  <c r="F189" i="1" l="1"/>
  <c r="F191" i="1" s="1"/>
  <c r="F192" i="1" s="1"/>
  <c r="F179" i="1"/>
  <c r="F181" i="1" s="1"/>
  <c r="F182" i="1" s="1"/>
  <c r="F184" i="1"/>
  <c r="F193" i="1"/>
  <c r="F194" i="1" s="1"/>
  <c r="F195" i="1" l="1"/>
  <c r="F197" i="1"/>
  <c r="F186" i="1"/>
  <c r="F187" i="1" s="1"/>
  <c r="F202" i="1" s="1"/>
  <c r="F198" i="1" l="1"/>
  <c r="F203" i="1" s="1"/>
  <c r="F196" i="1"/>
  <c r="F204" i="1" s="1"/>
  <c r="F210" i="1" l="1"/>
  <c r="F200" i="1"/>
  <c r="F199" i="1"/>
  <c r="F201" i="1" l="1"/>
  <c r="G173" i="1" l="1"/>
  <c r="G172" i="1"/>
  <c r="G174" i="1" s="1"/>
  <c r="G206" i="1"/>
  <c r="G209" i="1"/>
  <c r="G205" i="1"/>
  <c r="G207" i="1"/>
  <c r="G208" i="1"/>
  <c r="G175" i="1" l="1"/>
  <c r="G176" i="1"/>
  <c r="G177" i="1" l="1"/>
  <c r="G189" i="1" s="1"/>
  <c r="G191" i="1" s="1"/>
  <c r="G192" i="1" s="1"/>
  <c r="G193" i="1"/>
  <c r="G184" i="1" l="1"/>
  <c r="G179" i="1"/>
  <c r="G181" i="1" s="1"/>
  <c r="G182" i="1" s="1"/>
  <c r="G194" i="1" s="1"/>
  <c r="G195" i="1"/>
  <c r="G186" i="1"/>
  <c r="G187" i="1" s="1"/>
  <c r="G197" i="1"/>
  <c r="G198" i="1" l="1"/>
  <c r="G203" i="1" s="1"/>
  <c r="G202" i="1"/>
  <c r="G196" i="1"/>
  <c r="G204" i="1" s="1"/>
  <c r="G210" i="1" s="1"/>
  <c r="G199" i="1" l="1"/>
  <c r="G200" i="1"/>
  <c r="G201" i="1" l="1"/>
  <c r="H173" i="1" l="1"/>
  <c r="H172" i="1"/>
  <c r="H174" i="1" l="1"/>
  <c r="H208" i="1" s="1"/>
  <c r="H209" i="1"/>
  <c r="H205" i="1"/>
  <c r="H207" i="1"/>
  <c r="H206" i="1" l="1"/>
  <c r="H175" i="1"/>
  <c r="H176" i="1"/>
  <c r="H177" i="1" l="1"/>
  <c r="H179" i="1" s="1"/>
  <c r="H181" i="1" s="1"/>
  <c r="H182" i="1" s="1"/>
  <c r="H184" i="1"/>
  <c r="H189" i="1"/>
  <c r="H191" i="1" s="1"/>
  <c r="H192" i="1" s="1"/>
  <c r="H193" i="1"/>
  <c r="H194" i="1" l="1"/>
  <c r="H186" i="1"/>
  <c r="H187" i="1" s="1"/>
  <c r="H197" i="1"/>
  <c r="H195" i="1"/>
  <c r="H196" i="1" s="1"/>
  <c r="H204" i="1" s="1"/>
  <c r="H198" i="1" l="1"/>
  <c r="H203" i="1" s="1"/>
  <c r="H202" i="1"/>
  <c r="H199" i="1"/>
  <c r="H200" i="1" l="1"/>
  <c r="H201" i="1" s="1"/>
  <c r="H210" i="1"/>
  <c r="I172" i="1" l="1"/>
  <c r="I173" i="1"/>
  <c r="I174" i="1" l="1"/>
  <c r="I208" i="1" l="1"/>
  <c r="I206" i="1"/>
  <c r="E98" i="1"/>
  <c r="I207" i="1"/>
  <c r="I209" i="1"/>
  <c r="I205" i="1"/>
  <c r="I175" i="1" l="1"/>
  <c r="I176" i="1"/>
  <c r="I177" i="1" s="1"/>
  <c r="I189" i="1" l="1"/>
  <c r="I191" i="1" s="1"/>
  <c r="I192" i="1" s="1"/>
  <c r="I179" i="1"/>
  <c r="I181" i="1" s="1"/>
  <c r="I182" i="1" s="1"/>
  <c r="I193" i="1"/>
  <c r="I184" i="1"/>
  <c r="I194" i="1" l="1"/>
  <c r="I195" i="1"/>
  <c r="I197" i="1"/>
  <c r="I186" i="1"/>
  <c r="I187" i="1" s="1"/>
  <c r="I202" i="1" l="1"/>
  <c r="I198" i="1"/>
  <c r="I203" i="1" s="1"/>
  <c r="I196" i="1"/>
  <c r="I204" i="1" s="1"/>
  <c r="I210" i="1" l="1"/>
  <c r="I199" i="1"/>
  <c r="I200" i="1"/>
  <c r="I20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BMS</author>
  </authors>
  <commentList>
    <comment ref="C71" authorId="0" shapeId="0" xr:uid="{00000000-0006-0000-0000-000001000000}">
      <text>
        <r>
          <rPr>
            <sz val="9"/>
            <color rgb="FF000000"/>
            <rFont val="Geneva"/>
            <family val="2"/>
            <charset val="1"/>
          </rPr>
          <t xml:space="preserve">Bij kolommen in geschoorde raamwerken geldt: reductiefactor kniklengte = 
</t>
        </r>
        <r>
          <rPr>
            <sz val="9"/>
            <color rgb="FF000000"/>
            <rFont val="Geneva"/>
            <family val="2"/>
            <charset val="1"/>
          </rPr>
          <t xml:space="preserve">
</t>
        </r>
        <r>
          <rPr>
            <sz val="9"/>
            <color rgb="FF000000"/>
            <rFont val="Geneva"/>
            <family val="2"/>
            <charset val="1"/>
          </rPr>
          <t xml:space="preserve">0,5 indien kolom doorgaand naar boven- én ondergelegen verdieping, mits aparte brandcompartimenten;
</t>
        </r>
        <r>
          <rPr>
            <sz val="9"/>
            <color rgb="FF000000"/>
            <rFont val="Geneva"/>
            <family val="2"/>
            <charset val="1"/>
          </rPr>
          <t xml:space="preserve">
</t>
        </r>
        <r>
          <rPr>
            <sz val="9"/>
            <color rgb="FF000000"/>
            <rFont val="Geneva"/>
            <family val="2"/>
            <charset val="1"/>
          </rPr>
          <t xml:space="preserve">0,7 voor kolom op begane grond of bovenste verdieping met de kolom doorgaand naar verdieping dat een apart brandcompartiment is;
</t>
        </r>
        <r>
          <rPr>
            <sz val="9"/>
            <color rgb="FF000000"/>
            <rFont val="Geneva"/>
            <family val="2"/>
            <charset val="1"/>
          </rPr>
          <t xml:space="preserve">
</t>
        </r>
        <r>
          <rPr>
            <sz val="9"/>
            <color rgb="FF000000"/>
            <rFont val="Geneva"/>
            <family val="2"/>
            <charset val="1"/>
          </rPr>
          <t xml:space="preserve">1,0 in alle andere gevallen (zie 4.2.3.2 (5) van 
</t>
        </r>
        <r>
          <rPr>
            <sz val="9"/>
            <color rgb="FF000000"/>
            <rFont val="Geneva"/>
            <family val="2"/>
            <charset val="1"/>
          </rPr>
          <t xml:space="preserve">NEN-EN 1993-1-2.
</t>
        </r>
      </text>
    </comment>
    <comment ref="C76" authorId="0" shapeId="0" xr:uid="{00000000-0006-0000-0000-000002000000}">
      <text>
        <r>
          <rPr>
            <sz val="9"/>
            <color rgb="FF000000"/>
            <rFont val="Geneva"/>
            <family val="2"/>
            <charset val="1"/>
          </rPr>
          <t xml:space="preserve">Bij kolommen in geschoorde raamwerken geldt: reductiefactor kniklengte = 
</t>
        </r>
        <r>
          <rPr>
            <sz val="9"/>
            <color rgb="FF000000"/>
            <rFont val="Geneva"/>
            <family val="2"/>
            <charset val="1"/>
          </rPr>
          <t xml:space="preserve">
</t>
        </r>
        <r>
          <rPr>
            <sz val="9"/>
            <color rgb="FF000000"/>
            <rFont val="Geneva"/>
            <family val="2"/>
            <charset val="1"/>
          </rPr>
          <t xml:space="preserve">0,5 indien kolom doorgaand naar boven- én ondergelegen verdieping, mits aparte brandcompartimenten;
</t>
        </r>
        <r>
          <rPr>
            <sz val="9"/>
            <color rgb="FF000000"/>
            <rFont val="Geneva"/>
            <family val="2"/>
            <charset val="1"/>
          </rPr>
          <t xml:space="preserve">
</t>
        </r>
        <r>
          <rPr>
            <sz val="9"/>
            <color rgb="FF000000"/>
            <rFont val="Geneva"/>
            <family val="2"/>
            <charset val="1"/>
          </rPr>
          <t xml:space="preserve">0,7 voor kolom op begane grond of bovenste verdieping met de kolom doorgaand naar verdieping dat een apart brandcompartiment is;
</t>
        </r>
        <r>
          <rPr>
            <sz val="9"/>
            <color rgb="FF000000"/>
            <rFont val="Geneva"/>
            <family val="2"/>
            <charset val="1"/>
          </rPr>
          <t xml:space="preserve">
</t>
        </r>
        <r>
          <rPr>
            <sz val="9"/>
            <color rgb="FF000000"/>
            <rFont val="Geneva"/>
            <family val="2"/>
            <charset val="1"/>
          </rPr>
          <t xml:space="preserve">1,0 in alle andere gevallen (zie 4.2.3.2 (5) van 
</t>
        </r>
        <r>
          <rPr>
            <sz val="9"/>
            <color rgb="FF000000"/>
            <rFont val="Geneva"/>
            <family val="2"/>
            <charset val="1"/>
          </rPr>
          <t xml:space="preserve">NEN-EN 1993-1-2.
</t>
        </r>
      </text>
    </comment>
    <comment ref="A92" authorId="0" shapeId="0" xr:uid="{00000000-0006-0000-0000-000003000000}">
      <text>
        <r>
          <rPr>
            <sz val="9"/>
            <color rgb="FF000000"/>
            <rFont val="Geneva"/>
            <family val="2"/>
            <charset val="1"/>
          </rPr>
          <t>Wy is het plastisch weerstandsmoment bij doorsnedeklasse 1 en 2 en het elastisch weerstandsmoment bij doorsnedeklasse 3.</t>
        </r>
      </text>
    </comment>
    <comment ref="A93" authorId="0" shapeId="0" xr:uid="{00000000-0006-0000-0000-000004000000}">
      <text>
        <r>
          <rPr>
            <sz val="9"/>
            <color rgb="FF000000"/>
            <rFont val="Geneva"/>
            <family val="2"/>
            <charset val="1"/>
          </rPr>
          <t>Wz is het plastisch weerstandsmoment bij doorsnedeklasse 1 en 2 en het elastisch weerstandsmoment bij doorsnedeklasse 3.</t>
        </r>
      </text>
    </comment>
  </commentList>
</comments>
</file>

<file path=xl/sharedStrings.xml><?xml version="1.0" encoding="utf-8"?>
<sst xmlns="http://schemas.openxmlformats.org/spreadsheetml/2006/main" count="5288" uniqueCount="1070">
  <si>
    <r>
      <t>unity check (4.21b/d)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17)</t>
    </r>
  </si>
  <si>
    <r>
      <t>4.21b/d - deel M</t>
    </r>
    <r>
      <rPr>
        <vertAlign val="subscript"/>
        <sz val="8"/>
        <rFont val="Arial"/>
        <family val="2"/>
      </rPr>
      <t>z</t>
    </r>
  </si>
  <si>
    <r>
      <t xml:space="preserve">systeemlengte, </t>
    </r>
    <r>
      <rPr>
        <sz val="10"/>
        <rFont val="MT Extra"/>
        <family val="1"/>
      </rPr>
      <t>l</t>
    </r>
    <r>
      <rPr>
        <sz val="10"/>
        <rFont val="Arial"/>
        <family val="2"/>
      </rPr>
      <t xml:space="preserve"> =</t>
    </r>
  </si>
  <si>
    <r>
      <t xml:space="preserve">ongesteunde kiplengte,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=</t>
    </r>
  </si>
  <si>
    <t>Kniklengte om sterke as:</t>
  </si>
  <si>
    <r>
      <t xml:space="preserve">7. </t>
    </r>
    <r>
      <rPr>
        <sz val="10"/>
        <rFont val="Symbol"/>
        <family val="1"/>
      </rPr>
      <t>j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 0,5(1+</t>
    </r>
    <r>
      <rPr>
        <sz val="10"/>
        <rFont val="Symbol"/>
        <family val="1"/>
      </rPr>
      <t>a</t>
    </r>
    <r>
      <rPr>
        <sz val="10"/>
        <rFont val="Arial"/>
        <family val="2"/>
      </rPr>
      <t>·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+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a,</t>
    </r>
    <r>
      <rPr>
        <vertAlign val="subscript"/>
        <sz val="10"/>
        <rFont val="Symbol"/>
        <family val="1"/>
      </rPr>
      <t>q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      (vgl. 4.6)  (a = y, z of LT)</t>
    </r>
  </si>
  <si>
    <r>
      <t xml:space="preserve">16. unity check </t>
    </r>
    <r>
      <rPr>
        <sz val="10"/>
        <rFont val="Arial"/>
        <family val="2"/>
      </rPr>
      <t>(vgl. 4.21a en 4.21c)</t>
    </r>
  </si>
  <si>
    <r>
      <t>17. unity check</t>
    </r>
    <r>
      <rPr>
        <sz val="10"/>
        <rFont val="Arial"/>
        <family val="2"/>
      </rPr>
      <t xml:space="preserve"> (vgl. 4.21b en 4.21d)</t>
    </r>
  </si>
  <si>
    <r>
      <t>3. √(k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/k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 (term vgl. 4.7)</t>
    </r>
  </si>
  <si>
    <r>
      <t xml:space="preserve">4.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 xml:space="preserve"> = ((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buc,a,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/i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)/93,9)/</t>
    </r>
    <r>
      <rPr>
        <sz val="10"/>
        <rFont val="Symbol"/>
        <family val="1"/>
      </rPr>
      <t>e      (</t>
    </r>
    <r>
      <rPr>
        <sz val="10"/>
        <rFont val="Arial"/>
        <family val="2"/>
      </rPr>
      <t>a = y of z)</t>
    </r>
  </si>
  <si>
    <r>
      <t>15. k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 = 1-(</t>
    </r>
    <r>
      <rPr>
        <sz val="10"/>
        <rFont val="Symbol"/>
        <family val="1"/>
      </rPr>
      <t>m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>·N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)/(</t>
    </r>
    <r>
      <rPr>
        <sz val="10"/>
        <rFont val="Symbol"/>
        <family val="1"/>
      </rPr>
      <t>c</t>
    </r>
    <r>
      <rPr>
        <vertAlign val="subscript"/>
        <sz val="10"/>
        <rFont val="Arial"/>
        <family val="2"/>
      </rPr>
      <t>z,fi</t>
    </r>
    <r>
      <rPr>
        <sz val="10"/>
        <rFont val="Arial"/>
        <family val="2"/>
      </rPr>
      <t>·A·k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·f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) </t>
    </r>
    <r>
      <rPr>
        <sz val="10"/>
        <rFont val="Arial"/>
        <family val="2"/>
      </rPr>
      <t>&lt;= 1</t>
    </r>
  </si>
  <si>
    <r>
      <t xml:space="preserve">8. </t>
    </r>
    <r>
      <rPr>
        <sz val="10"/>
        <rFont val="Symbol"/>
        <family val="1"/>
      </rPr>
      <t>c</t>
    </r>
    <r>
      <rPr>
        <vertAlign val="subscript"/>
        <sz val="10"/>
        <rFont val="Arial"/>
        <family val="2"/>
      </rPr>
      <t>a,fi</t>
    </r>
    <r>
      <rPr>
        <sz val="10"/>
        <rFont val="Arial"/>
        <family val="2"/>
      </rPr>
      <t xml:space="preserve"> = 1/(</t>
    </r>
    <r>
      <rPr>
        <sz val="10"/>
        <rFont val="Symbol"/>
        <family val="1"/>
      </rPr>
      <t>j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+√</t>
    </r>
    <r>
      <rPr>
        <sz val="10"/>
        <rFont val="Symbol"/>
        <family val="1"/>
      </rPr>
      <t>(j</t>
    </r>
    <r>
      <rPr>
        <vertAlign val="subscript"/>
        <sz val="10"/>
        <rFont val="Symbol"/>
        <family val="1"/>
      </rPr>
      <t>q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a,</t>
    </r>
    <r>
      <rPr>
        <vertAlign val="subscript"/>
        <sz val="10"/>
        <rFont val="Symbol"/>
        <family val="1"/>
      </rPr>
      <t>q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))      (vgl. 4.6)  (a = y, z of LT)</t>
    </r>
  </si>
  <si>
    <r>
      <t xml:space="preserve">9.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= √(W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·f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/M</t>
    </r>
    <r>
      <rPr>
        <vertAlign val="subscript"/>
        <sz val="10"/>
        <rFont val="Arial"/>
        <family val="2"/>
      </rPr>
      <t>cr</t>
    </r>
    <r>
      <rPr>
        <sz val="10"/>
        <rFont val="Arial"/>
        <family val="2"/>
      </rPr>
      <t>)      (vgl. 6.3.2.2 van NEN-EN 1993-1-1)</t>
    </r>
  </si>
  <si>
    <r>
      <rPr>
        <sz val="10"/>
        <rFont val="Arial"/>
        <family val="2"/>
      </rPr>
      <t>10.</t>
    </r>
    <r>
      <rPr>
        <sz val="10"/>
        <rFont val="Symbol"/>
        <family val="1"/>
      </rPr>
      <t xml:space="preserve"> m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= (2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My</t>
    </r>
    <r>
      <rPr>
        <sz val="10"/>
        <rFont val="Arial"/>
        <family val="2"/>
      </rPr>
      <t xml:space="preserve"> -5)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+ 0,44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My</t>
    </r>
    <r>
      <rPr>
        <sz val="10"/>
        <rFont val="Arial"/>
        <family val="2"/>
      </rPr>
      <t xml:space="preserve"> + 0,29 &lt;= 0,8 en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&lt;= 1,1</t>
    </r>
  </si>
  <si>
    <r>
      <t>11. k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 = 1-(</t>
    </r>
    <r>
      <rPr>
        <sz val="10"/>
        <rFont val="Symbol"/>
        <family val="1"/>
      </rPr>
      <t>m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·N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)/(</t>
    </r>
    <r>
      <rPr>
        <sz val="10"/>
        <rFont val="Symbol"/>
        <family val="1"/>
      </rPr>
      <t>c</t>
    </r>
    <r>
      <rPr>
        <vertAlign val="subscript"/>
        <sz val="10"/>
        <rFont val="Arial"/>
        <family val="2"/>
      </rPr>
      <t>y,fi</t>
    </r>
    <r>
      <rPr>
        <sz val="10"/>
        <rFont val="Arial"/>
        <family val="2"/>
      </rPr>
      <t>·A·k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·f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) &lt;= 3</t>
    </r>
  </si>
  <si>
    <r>
      <rPr>
        <sz val="10"/>
        <rFont val="Arial"/>
        <family val="2"/>
      </rPr>
      <t>12.</t>
    </r>
    <r>
      <rPr>
        <sz val="10"/>
        <rFont val="Symbol"/>
        <family val="1"/>
      </rPr>
      <t xml:space="preserve"> m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= (1,2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Mz</t>
    </r>
    <r>
      <rPr>
        <sz val="10"/>
        <rFont val="Arial"/>
        <family val="2"/>
      </rPr>
      <t xml:space="preserve"> -3)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z,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+ 0,71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Mz</t>
    </r>
    <r>
      <rPr>
        <sz val="10"/>
        <rFont val="Arial"/>
        <family val="2"/>
      </rPr>
      <t xml:space="preserve"> - 0,29 </t>
    </r>
    <r>
      <rPr>
        <sz val="9"/>
        <rFont val="Arial"/>
        <family val="2"/>
      </rPr>
      <t xml:space="preserve">&lt;= </t>
    </r>
    <r>
      <rPr>
        <sz val="10"/>
        <rFont val="Arial"/>
        <family val="2"/>
      </rPr>
      <t>0,8</t>
    </r>
  </si>
  <si>
    <r>
      <t>13. k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 = 1-(</t>
    </r>
    <r>
      <rPr>
        <sz val="10"/>
        <rFont val="Symbol"/>
        <family val="1"/>
      </rPr>
      <t>m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>·N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)/(</t>
    </r>
    <r>
      <rPr>
        <sz val="10"/>
        <rFont val="Symbol"/>
        <family val="1"/>
      </rPr>
      <t>c</t>
    </r>
    <r>
      <rPr>
        <vertAlign val="subscript"/>
        <sz val="10"/>
        <rFont val="Arial"/>
        <family val="2"/>
      </rPr>
      <t>z,fi</t>
    </r>
    <r>
      <rPr>
        <sz val="10"/>
        <rFont val="Arial"/>
        <family val="2"/>
      </rPr>
      <t>·A·k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·f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) &lt;= 3</t>
    </r>
  </si>
  <si>
    <r>
      <rPr>
        <sz val="10"/>
        <rFont val="Arial"/>
        <family val="2"/>
      </rPr>
      <t xml:space="preserve">14. </t>
    </r>
    <r>
      <rPr>
        <sz val="10"/>
        <rFont val="Symbol"/>
        <family val="1"/>
      </rPr>
      <t>m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= 0,15·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z,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·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MLT</t>
    </r>
    <r>
      <rPr>
        <sz val="10"/>
        <rFont val="Arial"/>
        <family val="2"/>
      </rPr>
      <t xml:space="preserve"> - 0,15 &lt;= 0,9</t>
    </r>
  </si>
  <si>
    <r>
      <t>mm</t>
    </r>
    <r>
      <rPr>
        <vertAlign val="superscript"/>
        <sz val="10"/>
        <rFont val="Arial"/>
        <family val="2"/>
      </rPr>
      <t>3</t>
    </r>
  </si>
  <si>
    <r>
      <t>j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7)</t>
    </r>
  </si>
  <si>
    <r>
      <t>j</t>
    </r>
    <r>
      <rPr>
        <vertAlign val="subscript"/>
        <sz val="10"/>
        <rFont val="Arial"/>
        <family val="2"/>
      </rPr>
      <t>z,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7)</t>
    </r>
  </si>
  <si>
    <t>Staalsoort en profiel</t>
    <phoneticPr fontId="0" type="noConversion"/>
  </si>
  <si>
    <r>
      <t>I</t>
    </r>
    <r>
      <rPr>
        <b/>
        <vertAlign val="subscript"/>
        <sz val="10"/>
        <rFont val="Arial"/>
        <family val="2"/>
      </rPr>
      <t>z</t>
    </r>
  </si>
  <si>
    <r>
      <t>W</t>
    </r>
    <r>
      <rPr>
        <b/>
        <vertAlign val="subscript"/>
        <sz val="10"/>
        <rFont val="Arial"/>
        <family val="2"/>
      </rPr>
      <t>z;el</t>
    </r>
  </si>
  <si>
    <r>
      <t>W</t>
    </r>
    <r>
      <rPr>
        <b/>
        <vertAlign val="subscript"/>
        <sz val="10"/>
        <rFont val="Arial"/>
        <family val="2"/>
      </rPr>
      <t>z;pl</t>
    </r>
  </si>
  <si>
    <r>
      <t>i</t>
    </r>
    <r>
      <rPr>
        <b/>
        <vertAlign val="subscript"/>
        <sz val="10"/>
        <rFont val="Arial"/>
        <family val="2"/>
      </rPr>
      <t>z</t>
    </r>
  </si>
  <si>
    <r>
      <t>I</t>
    </r>
    <r>
      <rPr>
        <b/>
        <vertAlign val="subscript"/>
        <sz val="10"/>
        <rFont val="Arial"/>
        <family val="2"/>
      </rPr>
      <t>wa</t>
    </r>
  </si>
  <si>
    <r>
      <t>I</t>
    </r>
    <r>
      <rPr>
        <b/>
        <vertAlign val="subscript"/>
        <sz val="10"/>
        <rFont val="Arial"/>
        <family val="2"/>
      </rPr>
      <t>t</t>
    </r>
  </si>
  <si>
    <r>
      <t>t</t>
    </r>
    <r>
      <rPr>
        <b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>/t</t>
    </r>
  </si>
  <si>
    <t>S235</t>
  </si>
  <si>
    <t>S275</t>
  </si>
  <si>
    <t>S355</t>
  </si>
  <si>
    <t>S420</t>
  </si>
  <si>
    <t>Proportionali-
teitsgrens</t>
    <phoneticPr fontId="0" type="noConversion"/>
  </si>
  <si>
    <t>Temperatuur</t>
    <phoneticPr fontId="0" type="noConversion"/>
  </si>
  <si>
    <t>Vloeigrens</t>
    <phoneticPr fontId="0" type="noConversion"/>
  </si>
  <si>
    <r>
      <t>T</t>
    </r>
    <r>
      <rPr>
        <vertAlign val="subscript"/>
        <sz val="10"/>
        <rFont val="Arial"/>
        <family val="2"/>
      </rPr>
      <t>onder</t>
    </r>
    <r>
      <rPr>
        <sz val="10"/>
        <rFont val="Arial"/>
        <family val="2"/>
      </rPr>
      <t xml:space="preserve"> [°C]</t>
    </r>
    <phoneticPr fontId="0" type="noConversion"/>
  </si>
  <si>
    <r>
      <t>T</t>
    </r>
    <r>
      <rPr>
        <vertAlign val="subscript"/>
        <sz val="10"/>
        <rFont val="Arial"/>
        <family val="2"/>
      </rPr>
      <t>boven</t>
    </r>
    <r>
      <rPr>
        <sz val="10"/>
        <rFont val="Arial"/>
        <family val="2"/>
      </rPr>
      <t xml:space="preserve"> [°C]</t>
    </r>
    <phoneticPr fontId="0" type="noConversion"/>
  </si>
  <si>
    <r>
      <t>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1)</t>
    </r>
    <phoneticPr fontId="0" type="noConversion"/>
  </si>
  <si>
    <r>
      <t>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2)</t>
    </r>
    <phoneticPr fontId="0" type="noConversion"/>
  </si>
  <si>
    <r>
      <t>√(k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/k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) </t>
    </r>
    <r>
      <rPr>
        <vertAlign val="superscript"/>
        <sz val="10"/>
        <rFont val="Arial"/>
        <family val="2"/>
      </rPr>
      <t>3)</t>
    </r>
    <phoneticPr fontId="0" type="noConversion"/>
  </si>
  <si>
    <r>
      <t>1. afna</t>
    </r>
    <r>
      <rPr>
        <sz val="10"/>
        <rFont val="Arial"/>
        <family val="2"/>
      </rPr>
      <t>me vloeigrens, 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phoneticPr fontId="0" type="noConversion"/>
  </si>
  <si>
    <r>
      <t xml:space="preserve">2. </t>
    </r>
    <r>
      <rPr>
        <sz val="10"/>
        <rFont val="Arial"/>
        <family val="2"/>
      </rPr>
      <t>afname elasticiteitsmodulus, 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phoneticPr fontId="0" type="noConversion"/>
  </si>
  <si>
    <t>HEB 600</t>
  </si>
  <si>
    <t>HEB 650</t>
  </si>
  <si>
    <t>S460</t>
  </si>
  <si>
    <t>a</t>
  </si>
  <si>
    <t xml:space="preserve"> </t>
  </si>
  <si>
    <t>F</t>
  </si>
  <si>
    <t>c</t>
  </si>
  <si>
    <t>curve</t>
  </si>
  <si>
    <t>b</t>
  </si>
  <si>
    <t>r</t>
  </si>
  <si>
    <t>HEB 700</t>
  </si>
  <si>
    <t>HEB 800</t>
  </si>
  <si>
    <t>HEB 900</t>
  </si>
  <si>
    <t>HEB 1000</t>
  </si>
  <si>
    <t>HEM 100</t>
  </si>
  <si>
    <t>HEM 120</t>
  </si>
  <si>
    <t>HEM 140</t>
  </si>
  <si>
    <t>HEM 160</t>
  </si>
  <si>
    <t>HEB 120</t>
  </si>
  <si>
    <t>HEB 140</t>
  </si>
  <si>
    <t>HEB 160</t>
  </si>
  <si>
    <t>HEB 180</t>
  </si>
  <si>
    <t>HEB 200</t>
  </si>
  <si>
    <t>HEB 220</t>
  </si>
  <si>
    <t>HEM 260</t>
  </si>
  <si>
    <t>HEM 280</t>
  </si>
  <si>
    <t>HEM 300</t>
  </si>
  <si>
    <t>HEM 320</t>
  </si>
  <si>
    <t>HEM 340</t>
  </si>
  <si>
    <t>HEM 360</t>
  </si>
  <si>
    <t>HEM 400</t>
  </si>
  <si>
    <t>HEM 450</t>
  </si>
  <si>
    <t>Resultaat</t>
    <phoneticPr fontId="0" type="noConversion"/>
  </si>
  <si>
    <t>--</t>
  </si>
  <si>
    <t>kamertemperatuur</t>
  </si>
  <si>
    <t>Doorsnedeklasse bij druk</t>
  </si>
  <si>
    <t>Toelichting</t>
    <phoneticPr fontId="0" type="noConversion"/>
  </si>
  <si>
    <t>Berekening</t>
    <phoneticPr fontId="0" type="noConversion"/>
  </si>
  <si>
    <t>S</t>
  </si>
  <si>
    <r>
      <t>[mm</t>
    </r>
    <r>
      <rPr>
        <vertAlign val="superscript"/>
        <sz val="9"/>
        <rFont val="Arial"/>
        <family val="2"/>
      </rPr>
      <t>6</t>
    </r>
    <r>
      <rPr>
        <sz val="9"/>
        <rFont val="Arial"/>
        <family val="2"/>
      </rPr>
      <t>]</t>
    </r>
  </si>
  <si>
    <t>C</t>
  </si>
  <si>
    <r>
      <t>l</t>
    </r>
    <r>
      <rPr>
        <b/>
        <vertAlign val="subscript"/>
        <sz val="10"/>
        <rFont val="Arial"/>
        <family val="2"/>
      </rPr>
      <t>LT</t>
    </r>
  </si>
  <si>
    <t>klasse</t>
  </si>
  <si>
    <t>drsn.</t>
  </si>
  <si>
    <t>Drsn.kl. bij buiging</t>
  </si>
  <si>
    <t>Profielfactor</t>
  </si>
  <si>
    <t>h/d</t>
  </si>
  <si>
    <t>brand</t>
  </si>
  <si>
    <r>
      <t>P</t>
    </r>
    <r>
      <rPr>
        <b/>
        <vertAlign val="subscript"/>
        <sz val="10"/>
        <rFont val="Arial"/>
        <family val="2"/>
      </rPr>
      <t>coating</t>
    </r>
    <r>
      <rPr>
        <b/>
        <sz val="10"/>
        <rFont val="Arial"/>
        <family val="2"/>
      </rPr>
      <t xml:space="preserve"> </t>
    </r>
    <r>
      <rPr>
        <sz val="9"/>
        <rFont val="Arial"/>
        <family val="2"/>
      </rPr>
      <t>[m</t>
    </r>
    <r>
      <rPr>
        <vertAlign val="superscript"/>
        <sz val="9"/>
        <rFont val="Arial"/>
        <family val="2"/>
      </rPr>
      <t>-1</t>
    </r>
    <r>
      <rPr>
        <sz val="9"/>
        <rFont val="Arial"/>
        <family val="2"/>
      </rPr>
      <t>]</t>
    </r>
  </si>
  <si>
    <r>
      <t>P</t>
    </r>
    <r>
      <rPr>
        <b/>
        <vertAlign val="subscript"/>
        <sz val="10"/>
        <rFont val="Arial"/>
        <family val="2"/>
      </rPr>
      <t>box</t>
    </r>
    <r>
      <rPr>
        <sz val="9"/>
        <rFont val="Arial"/>
        <family val="2"/>
      </rPr>
      <t xml:space="preserve"> [m</t>
    </r>
    <r>
      <rPr>
        <vertAlign val="superscript"/>
        <sz val="9"/>
        <rFont val="Arial"/>
        <family val="2"/>
      </rPr>
      <t>-1</t>
    </r>
    <r>
      <rPr>
        <sz val="9"/>
        <rFont val="Arial"/>
        <family val="2"/>
      </rPr>
      <t>]</t>
    </r>
  </si>
  <si>
    <r>
      <t>[m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/m]</t>
    </r>
  </si>
  <si>
    <t>4-z.</t>
  </si>
  <si>
    <t>3-z.</t>
  </si>
  <si>
    <r>
      <t>Berekening M</t>
    </r>
    <r>
      <rPr>
        <b/>
        <vertAlign val="subscript"/>
        <sz val="12"/>
        <rFont val="Arial"/>
        <family val="2"/>
      </rPr>
      <t>cr</t>
    </r>
  </si>
  <si>
    <t>[Nmm]</t>
  </si>
  <si>
    <r>
      <t>l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9)</t>
    </r>
  </si>
  <si>
    <r>
      <t>l</t>
    </r>
    <r>
      <rPr>
        <vertAlign val="subscript"/>
        <sz val="10"/>
        <rFont val="Arial"/>
        <family val="2"/>
      </rPr>
      <t>LT,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5)</t>
    </r>
  </si>
  <si>
    <r>
      <t>j</t>
    </r>
    <r>
      <rPr>
        <vertAlign val="subscript"/>
        <sz val="10"/>
        <rFont val="Arial"/>
        <family val="2"/>
      </rPr>
      <t>LT,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7)</t>
    </r>
  </si>
  <si>
    <r>
      <t>c</t>
    </r>
    <r>
      <rPr>
        <vertAlign val="subscript"/>
        <sz val="10"/>
        <rFont val="Arial"/>
        <family val="2"/>
      </rPr>
      <t>LT,</t>
    </r>
    <r>
      <rPr>
        <vertAlign val="subscript"/>
        <sz val="10"/>
        <rFont val="Arial"/>
        <family val="2"/>
      </rPr>
      <t>fi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8)</t>
    </r>
  </si>
  <si>
    <t>unity check maximum</t>
  </si>
  <si>
    <t>4.21b/d - deel knik z</t>
  </si>
  <si>
    <t>4.21b/d - deel kip y</t>
  </si>
  <si>
    <r>
      <t>c</t>
    </r>
    <r>
      <rPr>
        <vertAlign val="subscript"/>
        <sz val="10"/>
        <rFont val="Arial"/>
        <family val="2"/>
      </rPr>
      <t>z,</t>
    </r>
    <r>
      <rPr>
        <vertAlign val="subscript"/>
        <sz val="10"/>
        <rFont val="Arial"/>
        <family val="2"/>
      </rPr>
      <t>fi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8)</t>
    </r>
  </si>
  <si>
    <r>
      <t>k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13)</t>
    </r>
  </si>
  <si>
    <r>
      <t>m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14)</t>
    </r>
  </si>
  <si>
    <r>
      <t>k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15)</t>
    </r>
  </si>
  <si>
    <r>
      <t>unity check (4.21a/c)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16)</t>
    </r>
  </si>
  <si>
    <t>HEM 220</t>
  </si>
  <si>
    <t>HEM 240</t>
  </si>
  <si>
    <r>
      <t>i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=</t>
    </r>
  </si>
  <si>
    <r>
      <t>l</t>
    </r>
    <r>
      <rPr>
        <vertAlign val="subscript"/>
        <sz val="10"/>
        <rFont val="Arial"/>
        <family val="2"/>
      </rPr>
      <t>z;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5)</t>
    </r>
  </si>
  <si>
    <r>
      <t>l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4)</t>
    </r>
  </si>
  <si>
    <r>
      <t>l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4)</t>
    </r>
  </si>
  <si>
    <r>
      <t>l</t>
    </r>
    <r>
      <rPr>
        <vertAlign val="subscript"/>
        <sz val="10"/>
        <rFont val="Arial"/>
        <family val="2"/>
      </rPr>
      <t>y;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5)</t>
    </r>
  </si>
  <si>
    <r>
      <t>c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Arial"/>
        <family val="2"/>
      </rPr>
      <t>fi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8)</t>
    </r>
  </si>
  <si>
    <r>
      <t>a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6)</t>
    </r>
    <phoneticPr fontId="0" type="noConversion"/>
  </si>
  <si>
    <t>staalsoort:</t>
    <phoneticPr fontId="0" type="noConversion"/>
  </si>
  <si>
    <t>profielkeuze:</t>
    <phoneticPr fontId="0" type="noConversion"/>
  </si>
  <si>
    <t>A =</t>
    <phoneticPr fontId="0" type="noConversion"/>
  </si>
  <si>
    <r>
      <t>i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=</t>
    </r>
    <phoneticPr fontId="0" type="noConversion"/>
  </si>
  <si>
    <t>Kritieke temperatuur bepaald met iteratieve berekening, zie hieronder.</t>
    <phoneticPr fontId="0" type="noConversion"/>
  </si>
  <si>
    <t>Iteratieve berekening kritieke staaltemperatuur</t>
    <phoneticPr fontId="0" type="noConversion"/>
  </si>
  <si>
    <r>
      <t>N</t>
    </r>
    <r>
      <rPr>
        <b/>
        <vertAlign val="subscript"/>
        <sz val="10"/>
        <rFont val="Arial"/>
        <family val="2"/>
      </rPr>
      <t>b,Rd</t>
    </r>
  </si>
  <si>
    <r>
      <t>A</t>
    </r>
    <r>
      <rPr>
        <b/>
        <vertAlign val="subscript"/>
        <sz val="10"/>
        <rFont val="Arial"/>
        <family val="2"/>
      </rPr>
      <t>L</t>
    </r>
  </si>
  <si>
    <r>
      <t>[mm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]</t>
    </r>
  </si>
  <si>
    <r>
      <t>I</t>
    </r>
    <r>
      <rPr>
        <b/>
        <vertAlign val="subscript"/>
        <sz val="10"/>
        <rFont val="Arial"/>
        <family val="2"/>
      </rPr>
      <t>y</t>
    </r>
  </si>
  <si>
    <t>HF CHS 177,8 x 5</t>
  </si>
  <si>
    <t>HF CHS 219,1 x 5</t>
  </si>
  <si>
    <t>°C</t>
  </si>
  <si>
    <t>Proportionaliteitsgrens</t>
  </si>
  <si>
    <t>Stijfheid</t>
  </si>
  <si>
    <t>sqrt(ky/kE)</t>
  </si>
  <si>
    <t>staaltemp. [°C]</t>
    <phoneticPr fontId="0" type="noConversion"/>
  </si>
  <si>
    <r>
      <t>e</t>
    </r>
    <r>
      <rPr>
        <sz val="10"/>
        <rFont val="Arial"/>
        <family val="2"/>
      </rPr>
      <t xml:space="preserve"> = √(235/f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) = </t>
    </r>
    <phoneticPr fontId="0" type="noConversion"/>
  </si>
  <si>
    <t>Stijfheid</t>
    <phoneticPr fontId="0" type="noConversion"/>
  </si>
  <si>
    <r>
      <t>kritieke staaltemperatuur</t>
    </r>
    <r>
      <rPr>
        <sz val="10"/>
        <rFont val="Arial"/>
        <family val="2"/>
      </rPr>
      <t xml:space="preserve">, </t>
    </r>
    <r>
      <rPr>
        <sz val="10"/>
        <rFont val="Symbol"/>
        <family val="1"/>
      </rPr>
      <t>q</t>
    </r>
    <r>
      <rPr>
        <vertAlign val="subscript"/>
        <sz val="10"/>
        <rFont val="Arial"/>
        <family val="2"/>
      </rPr>
      <t>a;cr</t>
    </r>
    <r>
      <rPr>
        <sz val="10"/>
        <rFont val="Arial"/>
        <family val="2"/>
      </rPr>
      <t xml:space="preserve"> = </t>
    </r>
    <phoneticPr fontId="0" type="noConversion"/>
  </si>
  <si>
    <r>
      <t>√(k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/k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>)</t>
    </r>
    <phoneticPr fontId="0" type="noConversion"/>
  </si>
  <si>
    <t>HF SHS 100 x 5</t>
  </si>
  <si>
    <t>HF SHS 120 x 5</t>
  </si>
  <si>
    <t>HF SHS 250 x 8</t>
  </si>
  <si>
    <t>HF SHS 300 x 8</t>
  </si>
  <si>
    <t>HF SHS 350 x 8</t>
  </si>
  <si>
    <t>HF SHS 350 x 10</t>
  </si>
  <si>
    <t>doorsnedeklasse bij brand:</t>
    <phoneticPr fontId="0" type="noConversion"/>
  </si>
  <si>
    <t>IPE 200</t>
  </si>
  <si>
    <t>IPE 220</t>
  </si>
  <si>
    <t>IPE 240</t>
  </si>
  <si>
    <t>HF SHS 400 x 10</t>
  </si>
  <si>
    <t>HF SHS 400 x 16</t>
  </si>
  <si>
    <t>HF SHS 400 x 20</t>
  </si>
  <si>
    <t>Geen passend profiel</t>
  </si>
  <si>
    <t>Profiel</t>
  </si>
  <si>
    <t>Geometrie</t>
  </si>
  <si>
    <t>Berekening knikkracht</t>
  </si>
  <si>
    <t>Opvolgend profiel</t>
  </si>
  <si>
    <t>Knik z-as</t>
  </si>
  <si>
    <t>[kN]</t>
  </si>
  <si>
    <t>[mm]</t>
  </si>
  <si>
    <t>[kg/m]</t>
  </si>
  <si>
    <t>Profielgrootheden</t>
  </si>
  <si>
    <r>
      <t>N</t>
    </r>
    <r>
      <rPr>
        <b/>
        <vertAlign val="subscript"/>
        <sz val="10"/>
        <rFont val="Arial"/>
        <family val="2"/>
      </rPr>
      <t>b;Rd</t>
    </r>
  </si>
  <si>
    <r>
      <t>t</t>
    </r>
    <r>
      <rPr>
        <b/>
        <vertAlign val="subscript"/>
        <sz val="10"/>
        <rFont val="Arial"/>
        <family val="2"/>
      </rPr>
      <t>f</t>
    </r>
  </si>
  <si>
    <r>
      <t>[mm</t>
    </r>
    <r>
      <rPr>
        <vertAlign val="superscript"/>
        <sz val="9"/>
        <rFont val="Arial"/>
        <family val="2"/>
      </rPr>
      <t>4</t>
    </r>
    <r>
      <rPr>
        <sz val="9"/>
        <rFont val="Arial"/>
        <family val="2"/>
      </rPr>
      <t>]</t>
    </r>
  </si>
  <si>
    <r>
      <t>W</t>
    </r>
    <r>
      <rPr>
        <b/>
        <vertAlign val="subscript"/>
        <sz val="10"/>
        <rFont val="Arial"/>
        <family val="2"/>
      </rPr>
      <t>y;el</t>
    </r>
  </si>
  <si>
    <r>
      <t>[mm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]</t>
    </r>
  </si>
  <si>
    <r>
      <t>W</t>
    </r>
    <r>
      <rPr>
        <b/>
        <vertAlign val="subscript"/>
        <sz val="10"/>
        <rFont val="Arial"/>
        <family val="2"/>
      </rPr>
      <t>y;pl</t>
    </r>
  </si>
  <si>
    <r>
      <t>i</t>
    </r>
    <r>
      <rPr>
        <b/>
        <vertAlign val="subscript"/>
        <sz val="10"/>
        <rFont val="Arial"/>
        <family val="2"/>
      </rPr>
      <t>y</t>
    </r>
  </si>
  <si>
    <t>CF SHS 400 x 16</t>
  </si>
  <si>
    <r>
      <t>mm</t>
    </r>
    <r>
      <rPr>
        <vertAlign val="superscript"/>
        <sz val="10"/>
        <rFont val="Arial"/>
        <family val="2"/>
      </rPr>
      <t>2</t>
    </r>
  </si>
  <si>
    <t>mm</t>
  </si>
  <si>
    <t>HEM 500</t>
  </si>
  <si>
    <t>HEM 550</t>
  </si>
  <si>
    <t>HEM 600</t>
  </si>
  <si>
    <t>HEM 650</t>
  </si>
  <si>
    <t>HEM 700</t>
  </si>
  <si>
    <t>HEM 800</t>
  </si>
  <si>
    <t>HEM 900</t>
  </si>
  <si>
    <t>HEM 1000</t>
  </si>
  <si>
    <t>kN</t>
  </si>
  <si>
    <t>G</t>
  </si>
  <si>
    <t>A</t>
  </si>
  <si>
    <t>IPE 80</t>
  </si>
  <si>
    <t>IPE 100</t>
  </si>
  <si>
    <t>IPE 120</t>
  </si>
  <si>
    <t>IPE 140</t>
  </si>
  <si>
    <t>IPE 160</t>
  </si>
  <si>
    <t>IPE 180</t>
  </si>
  <si>
    <t>HF SHS 80 x 4</t>
  </si>
  <si>
    <t>HF SHS 90 x 4</t>
  </si>
  <si>
    <t>HF SHS 100 x 4</t>
  </si>
  <si>
    <r>
      <t>G</t>
    </r>
    <r>
      <rPr>
        <b/>
        <vertAlign val="subscript"/>
        <sz val="10"/>
        <rFont val="Arial"/>
        <family val="2"/>
      </rPr>
      <t>8</t>
    </r>
  </si>
  <si>
    <r>
      <t>l</t>
    </r>
    <r>
      <rPr>
        <b/>
        <vertAlign val="superscript"/>
        <sz val="10"/>
        <rFont val="Arial"/>
        <family val="2"/>
      </rPr>
      <t>*</t>
    </r>
  </si>
  <si>
    <t>HEB 300</t>
  </si>
  <si>
    <t>HEB 320</t>
  </si>
  <si>
    <t>HEB 340</t>
  </si>
  <si>
    <t>HEB 360</t>
  </si>
  <si>
    <t>HEB 400</t>
  </si>
  <si>
    <t>HEB 450</t>
  </si>
  <si>
    <t>HEB 500</t>
  </si>
  <si>
    <t>HEB 550</t>
  </si>
  <si>
    <t>IPE 270</t>
  </si>
  <si>
    <t>IPE 300</t>
  </si>
  <si>
    <t>IPE 330</t>
  </si>
  <si>
    <t>IPE 360</t>
  </si>
  <si>
    <t>IPE 400</t>
  </si>
  <si>
    <t>IPE 450</t>
  </si>
  <si>
    <t>IPE 500</t>
  </si>
  <si>
    <t>IPE 550</t>
  </si>
  <si>
    <t>IPE 600</t>
  </si>
  <si>
    <t>HEA 100</t>
  </si>
  <si>
    <t>HEA 120</t>
  </si>
  <si>
    <t>HEA 140</t>
  </si>
  <si>
    <t>HEA 160</t>
  </si>
  <si>
    <t>HEA 180</t>
  </si>
  <si>
    <t>HEA 200</t>
  </si>
  <si>
    <t>HEA 220</t>
  </si>
  <si>
    <t>HEA 240</t>
  </si>
  <si>
    <t>HEA 260</t>
  </si>
  <si>
    <t>HEA 280</t>
  </si>
  <si>
    <t>HEA 300</t>
  </si>
  <si>
    <t>HEA 320</t>
  </si>
  <si>
    <t>HEA 340</t>
  </si>
  <si>
    <t>HEA 360</t>
  </si>
  <si>
    <t>HEA 400</t>
  </si>
  <si>
    <t>HEA 450</t>
  </si>
  <si>
    <t>HEA 500</t>
  </si>
  <si>
    <t>HEA 550</t>
  </si>
  <si>
    <t>HEA 600</t>
  </si>
  <si>
    <t>HEA 650</t>
  </si>
  <si>
    <t>HEA 700</t>
  </si>
  <si>
    <t>HEA 800</t>
  </si>
  <si>
    <t>HEA 900</t>
  </si>
  <si>
    <t>HEA 1000</t>
  </si>
  <si>
    <t>HEB 100</t>
  </si>
  <si>
    <t>HEB 240</t>
  </si>
  <si>
    <t>HEB 260</t>
  </si>
  <si>
    <t>HEB 280</t>
  </si>
  <si>
    <t>m</t>
  </si>
  <si>
    <t>CF CHS 177,8 x 5</t>
  </si>
  <si>
    <t>CF CHS 219,1 x 5</t>
  </si>
  <si>
    <t>CF SHS 40 x 2</t>
  </si>
  <si>
    <t>HEM 180</t>
  </si>
  <si>
    <t>HEM 200</t>
  </si>
  <si>
    <r>
      <t xml:space="preserve">5.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a,</t>
    </r>
    <r>
      <rPr>
        <vertAlign val="subscript"/>
        <sz val="10"/>
        <rFont val="Symbol"/>
        <family val="1"/>
      </rPr>
      <t>q</t>
    </r>
    <r>
      <rPr>
        <sz val="10"/>
        <rFont val="Symbol"/>
        <family val="1"/>
      </rPr>
      <t xml:space="preserve"> </t>
    </r>
    <r>
      <rPr>
        <sz val="10"/>
        <rFont val="Arial"/>
        <family val="2"/>
      </rPr>
      <t xml:space="preserve">=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·√(k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/k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      (vgl. 4.7)  (a = y of z)</t>
    </r>
    <phoneticPr fontId="0" type="noConversion"/>
  </si>
  <si>
    <r>
      <t xml:space="preserve">6. </t>
    </r>
    <r>
      <rPr>
        <sz val="10"/>
        <rFont val="Symbol"/>
        <family val="1"/>
      </rPr>
      <t>a</t>
    </r>
    <r>
      <rPr>
        <sz val="10"/>
        <rFont val="Arial"/>
        <family val="2"/>
      </rPr>
      <t xml:space="preserve"> = 0,65·</t>
    </r>
    <r>
      <rPr>
        <sz val="10"/>
        <rFont val="Symbol"/>
        <family val="1"/>
      </rPr>
      <t xml:space="preserve">e     </t>
    </r>
    <r>
      <rPr>
        <sz val="10"/>
        <rFont val="Arial"/>
        <family val="2"/>
      </rPr>
      <t xml:space="preserve"> (vgl. 4.6)</t>
    </r>
    <phoneticPr fontId="0" type="noConversion"/>
  </si>
  <si>
    <t>Knik- en kiplengte</t>
    <phoneticPr fontId="0" type="noConversion"/>
  </si>
  <si>
    <r>
      <t xml:space="preserve">- bij brand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buc,z,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</t>
    </r>
    <phoneticPr fontId="0" type="noConversion"/>
  </si>
  <si>
    <r>
      <t>b</t>
    </r>
    <r>
      <rPr>
        <vertAlign val="subscript"/>
        <sz val="10"/>
        <rFont val="Arial"/>
        <family val="2"/>
      </rPr>
      <t>M,y</t>
    </r>
    <r>
      <rPr>
        <sz val="10"/>
        <rFont val="Arial"/>
        <family val="2"/>
      </rPr>
      <t xml:space="preserve"> =</t>
    </r>
    <phoneticPr fontId="0" type="noConversion"/>
  </si>
  <si>
    <r>
      <t>W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=</t>
    </r>
    <phoneticPr fontId="0" type="noConversion"/>
  </si>
  <si>
    <r>
      <t>W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=</t>
    </r>
    <phoneticPr fontId="0" type="noConversion"/>
  </si>
  <si>
    <t>Berekening volgens NEN-EN 1993-1-2 + NB, art. 4.2.3.5.</t>
    <phoneticPr fontId="0" type="noConversion"/>
  </si>
  <si>
    <r>
      <t>rekenwaarde axiale belasting (druk), E</t>
    </r>
    <r>
      <rPr>
        <vertAlign val="subscript"/>
        <sz val="10"/>
        <rFont val="Arial"/>
        <family val="2"/>
      </rPr>
      <t>fi,d1</t>
    </r>
    <r>
      <rPr>
        <sz val="10"/>
        <rFont val="Arial"/>
        <family val="2"/>
      </rPr>
      <t xml:space="preserve"> = N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</t>
    </r>
    <phoneticPr fontId="0" type="noConversion"/>
  </si>
  <si>
    <r>
      <t xml:space="preserve">- bij fundamentele belastingen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buc,y,20</t>
    </r>
    <r>
      <rPr>
        <sz val="10"/>
        <rFont val="Arial"/>
        <family val="2"/>
      </rPr>
      <t xml:space="preserve"> =</t>
    </r>
    <phoneticPr fontId="0" type="noConversion"/>
  </si>
  <si>
    <r>
      <t xml:space="preserve">- bij brand,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</t>
    </r>
    <phoneticPr fontId="0" type="noConversion"/>
  </si>
  <si>
    <t>Kniklengte om zwakke as:</t>
    <phoneticPr fontId="0" type="noConversion"/>
  </si>
  <si>
    <r>
      <t xml:space="preserve">- bij fundamentele belastingen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buc,z,20</t>
    </r>
    <r>
      <rPr>
        <sz val="10"/>
        <rFont val="Arial"/>
        <family val="2"/>
      </rPr>
      <t xml:space="preserve"> =</t>
    </r>
    <phoneticPr fontId="0" type="noConversion"/>
  </si>
  <si>
    <t>- reductiefactor bij brand:</t>
    <phoneticPr fontId="0" type="noConversion"/>
  </si>
  <si>
    <t xml:space="preserve"> </t>
    <phoneticPr fontId="0" type="noConversion"/>
  </si>
  <si>
    <t>Belastinggegevens buitengewoon belastinggeval brand volgens NEN-EN 1990, 1991-1-2 + NB.</t>
    <phoneticPr fontId="0" type="noConversion"/>
  </si>
  <si>
    <r>
      <t>m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10)</t>
    </r>
  </si>
  <si>
    <r>
      <t>k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11)</t>
    </r>
  </si>
  <si>
    <r>
      <t>m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12)</t>
    </r>
  </si>
  <si>
    <r>
      <t>k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13)</t>
    </r>
  </si>
  <si>
    <t>Berekening volgens NEN-EN 1993-1-2 + NB (druk+buiging).</t>
  </si>
  <si>
    <t>kNm</t>
  </si>
  <si>
    <t>CF SHS 40 x 3</t>
  </si>
  <si>
    <t>CF SHS 50 x 3</t>
  </si>
  <si>
    <t>CF SHS 60 x 3</t>
  </si>
  <si>
    <t>CF SHS 70 x 3</t>
  </si>
  <si>
    <t>CF SHS 80 x 3</t>
  </si>
  <si>
    <t>CF SHS 80 x 4</t>
  </si>
  <si>
    <t>CF SHS 90 x 4</t>
  </si>
  <si>
    <t>CF SHS 100 x 4</t>
  </si>
  <si>
    <t>CF SHS 100 x 5</t>
  </si>
  <si>
    <t>CF SHS 120 x 5</t>
  </si>
  <si>
    <t>CF SHS 120 x 6</t>
  </si>
  <si>
    <t>CF SHS 140 x 6</t>
  </si>
  <si>
    <t>CF SHS 150 x 6</t>
  </si>
  <si>
    <t>CF SHS 160 x 6</t>
  </si>
  <si>
    <t>CF SHS 180 x 6</t>
  </si>
  <si>
    <t>CF SHS 200 x 6</t>
  </si>
  <si>
    <t>CF SHS 220 x 6</t>
  </si>
  <si>
    <t>CF SHS 250 x 6</t>
  </si>
  <si>
    <t>CF SHS 250 x 8</t>
  </si>
  <si>
    <t>CF SHS 300 x 8</t>
  </si>
  <si>
    <t>CF SHS 350 x 8</t>
  </si>
  <si>
    <t>CF SHS 350 x 10</t>
  </si>
  <si>
    <t>CF SHS 400 x 10</t>
  </si>
  <si>
    <t>CF CHS 76,1 x 5</t>
  </si>
  <si>
    <t>CF CHS 76,1 x 5,6</t>
  </si>
  <si>
    <t>CF CHS 76,1 x 6,3</t>
  </si>
  <si>
    <t>CF CHS 76,1 x 7,1</t>
  </si>
  <si>
    <t>CF CHS 76,1 x 8</t>
  </si>
  <si>
    <t>CF CHS 76,1 x 8,8</t>
  </si>
  <si>
    <t>CF CHS 76,1 x 10</t>
  </si>
  <si>
    <t>CF CHS 76,1 x 12,5</t>
  </si>
  <si>
    <t>CF CHS 76,1 x 14,2</t>
  </si>
  <si>
    <t>CF CHS 76,1 x 16</t>
  </si>
  <si>
    <t>CF CHS 76,1 x 17,5</t>
  </si>
  <si>
    <t>CF CHS 76,1 x 20</t>
  </si>
  <si>
    <t>CF CHS 88,9 x 5</t>
  </si>
  <si>
    <t>CF CHS 88,9 x 5,6</t>
  </si>
  <si>
    <t>CF CHS 88,9 x 6,3</t>
  </si>
  <si>
    <t>CF CHS 88,9 x 7,1</t>
  </si>
  <si>
    <t>CF CHS 88,9 x 8</t>
  </si>
  <si>
    <t>CF CHS 88,9 x 8,8</t>
  </si>
  <si>
    <t>CF CHS 88,9 x 10</t>
  </si>
  <si>
    <t>CF CHS 88,9 x 12,5</t>
  </si>
  <si>
    <t>CF CHS 88,9 x 16</t>
  </si>
  <si>
    <t>CF CHS 88,9 x 17,5</t>
  </si>
  <si>
    <t>CF CHS 88,9 x 20</t>
  </si>
  <si>
    <t>CF CHS 101,6 x 5</t>
  </si>
  <si>
    <t>CF CHS 101,6 x 6,3</t>
  </si>
  <si>
    <t>CF CHS 101,6 x 7,1</t>
  </si>
  <si>
    <t>CF CHS 101,6 x 8</t>
  </si>
  <si>
    <t>CF CHS 101,6 x 8,8</t>
  </si>
  <si>
    <t>CF CHS 101,6 x 10</t>
  </si>
  <si>
    <t>CF CHS 101,6 x 12,5</t>
  </si>
  <si>
    <t>CF CHS 101,6 x 16</t>
  </si>
  <si>
    <t>CF CHS 101,6 x 17,5</t>
  </si>
  <si>
    <t>CF CHS 101,6 x 20</t>
  </si>
  <si>
    <t>CF CHS 114,3 x 5</t>
  </si>
  <si>
    <t>CF CHS 114,3 x 5,6</t>
  </si>
  <si>
    <t>CF CHS 114,3 x 6,3</t>
  </si>
  <si>
    <t>CF CHS 114,3 x 7,1</t>
  </si>
  <si>
    <t>CF CHS 114,3 x 8</t>
  </si>
  <si>
    <t>CF CHS 114,3 x 10</t>
  </si>
  <si>
    <t>CF CHS 114,3 x 12,5</t>
  </si>
  <si>
    <t>CF CHS 114,3 x 14,2</t>
  </si>
  <si>
    <t>CF CHS 114,3 x 16</t>
  </si>
  <si>
    <t>CF CHS 114,3 x 17,5</t>
  </si>
  <si>
    <t>CF CHS 114,3 x 20</t>
  </si>
  <si>
    <t>CF CHS 121 x 5</t>
  </si>
  <si>
    <t>CF CHS 121 x 5,6</t>
  </si>
  <si>
    <t>CF CHS 121 x 6,3</t>
  </si>
  <si>
    <t>CF CHS 121 x 8</t>
  </si>
  <si>
    <t>CF CHS 121 x 10</t>
  </si>
  <si>
    <t>CF CHS 121 x 12,5</t>
  </si>
  <si>
    <t>CF CHS 121 x 16</t>
  </si>
  <si>
    <t>CF CHS 121 x 17,5</t>
  </si>
  <si>
    <t>CF CHS 121 x 20</t>
  </si>
  <si>
    <t>CF CHS 127 x 5</t>
  </si>
  <si>
    <t>CF CHS 127 x 6,3</t>
  </si>
  <si>
    <t>CF CHS 127 x 7,1</t>
  </si>
  <si>
    <t>CF CHS 127 x 8</t>
  </si>
  <si>
    <t>CF CHS 127 x 10</t>
  </si>
  <si>
    <t>CF CHS 127 x 12,5</t>
  </si>
  <si>
    <t>CF CHS 127 x 14,2</t>
  </si>
  <si>
    <t>CF CHS 127 x 16</t>
  </si>
  <si>
    <t>CF CHS 127 x 17,5</t>
  </si>
  <si>
    <t>CF CHS 127 x 20</t>
  </si>
  <si>
    <t>CF CHS 133 x 5</t>
  </si>
  <si>
    <t>CF CHS 133 x 6,3</t>
  </si>
  <si>
    <t>CF CHS 133 x 7,1</t>
  </si>
  <si>
    <t>CF CHS 133 x 8</t>
  </si>
  <si>
    <t>CF CHS 133 x 10</t>
  </si>
  <si>
    <t>CF CHS 133 x 12,5</t>
  </si>
  <si>
    <t>CF CHS 133 x 14,2</t>
  </si>
  <si>
    <t>CF CHS 133 x 16</t>
  </si>
  <si>
    <t>CF CHS 133 x 17,5</t>
  </si>
  <si>
    <t>CF CHS 133 x 20</t>
  </si>
  <si>
    <t>CF CHS 139,7 x 5</t>
  </si>
  <si>
    <t>CF CHS 139,7 x 5,6</t>
  </si>
  <si>
    <t>CF CHS 139,7 x 6,3</t>
  </si>
  <si>
    <t>CF CHS 139,7 x 7,1</t>
  </si>
  <si>
    <t>CF CHS 139,7 x 8</t>
  </si>
  <si>
    <t>CF CHS 139,7 x 10</t>
  </si>
  <si>
    <t>CF CHS 139,7 x 12,5</t>
  </si>
  <si>
    <t>CF CHS 139,7 x 14,2</t>
  </si>
  <si>
    <t>CF CHS 139,7 x 16</t>
  </si>
  <si>
    <t>CF CHS 139,7 x 20</t>
  </si>
  <si>
    <t>CF CHS 152,4 x 5,6</t>
  </si>
  <si>
    <t>CF CHS 152,4 x 6,3</t>
  </si>
  <si>
    <t>CF CHS 152,4 x 8</t>
  </si>
  <si>
    <t>CF CHS 152,4 x 10</t>
  </si>
  <si>
    <t>CF CHS 152,4 x 12,5</t>
  </si>
  <si>
    <t>CF CHS 152,4 x 14,2</t>
  </si>
  <si>
    <t>CF CHS 152,4 x 16</t>
  </si>
  <si>
    <t>CF CHS 152,4 x 17,5</t>
  </si>
  <si>
    <t>CF CHS 152,4 x 20</t>
  </si>
  <si>
    <t>CF CHS 159 x 5,6</t>
  </si>
  <si>
    <t>CF CHS 159 x 6,3</t>
  </si>
  <si>
    <t>CF CHS 159 x 7,1</t>
  </si>
  <si>
    <t>CF CHS 159 x 8</t>
  </si>
  <si>
    <t>CF CHS 159 x 10</t>
  </si>
  <si>
    <t>CF CHS 159 x 12,5</t>
  </si>
  <si>
    <t>CF CHS 159 x 14,2</t>
  </si>
  <si>
    <t>CF CHS 159 x 16</t>
  </si>
  <si>
    <t>CF CHS 159 x 17,5</t>
  </si>
  <si>
    <t>CF CHS 159 x 20</t>
  </si>
  <si>
    <t>CF CHS 168,3 x 5,6</t>
  </si>
  <si>
    <t>CF CHS 168,3 x 6,3</t>
  </si>
  <si>
    <t>CF CHS 168,3 x 7,1</t>
  </si>
  <si>
    <t>CF CHS 168,3 x 8</t>
  </si>
  <si>
    <t>CF CHS 168,3 x 8,8</t>
  </si>
  <si>
    <t>CF CHS 168,3 x 10</t>
  </si>
  <si>
    <t>CF CHS 168,3 x 12,5</t>
  </si>
  <si>
    <t>CF CHS 168,3 x 14,2</t>
  </si>
  <si>
    <t>CF CHS 168,3 x 16</t>
  </si>
  <si>
    <t>CF CHS 168,3 x 20</t>
  </si>
  <si>
    <t>CF CHS 177,8 x 6,3</t>
  </si>
  <si>
    <t>CF CHS 177,8 x 8</t>
  </si>
  <si>
    <t>CF CHS 177,8 x 8,8</t>
  </si>
  <si>
    <t>CF CHS 177,8 x 10</t>
  </si>
  <si>
    <t>CF CHS 177,8 x 12,5</t>
  </si>
  <si>
    <t>CF CHS 177,8 x 14,2</t>
  </si>
  <si>
    <t>CF CHS 177,8 x 16</t>
  </si>
  <si>
    <t>CF CHS 177,8 x 20</t>
  </si>
  <si>
    <t>CF CHS 193,7 x 5,6</t>
  </si>
  <si>
    <t>CF CHS 193,7 x 6,3</t>
  </si>
  <si>
    <t>CF CHS 193,7 x 7,1</t>
  </si>
  <si>
    <t>CF CHS 193,7 x 8</t>
  </si>
  <si>
    <t>CF CHS 193,7 x 8,8</t>
  </si>
  <si>
    <t>CF CHS 193,7 x 10</t>
  </si>
  <si>
    <t>CF CHS 193,7 x 12,5</t>
  </si>
  <si>
    <t>CF CHS 193,7 x 14,2</t>
  </si>
  <si>
    <t>CF CHS 193,7 x 16</t>
  </si>
  <si>
    <t>CF CHS 193,7 x 20</t>
  </si>
  <si>
    <t>CF CHS 219,1 x 5,6</t>
  </si>
  <si>
    <t>CF CHS 219,1 x 6,3</t>
  </si>
  <si>
    <t>CF CHS 219,1 x 7,1</t>
  </si>
  <si>
    <t>CF CHS 219,1 x 8</t>
  </si>
  <si>
    <t>CF CHS 219,1 x 8,8</t>
  </si>
  <si>
    <t>CF CHS 219,1 x 10</t>
  </si>
  <si>
    <t>CF CHS 219,1 x 12,5</t>
  </si>
  <si>
    <t>CF CHS 219,1 x 14,2</t>
  </si>
  <si>
    <t>CF CHS 219,1 x 16</t>
  </si>
  <si>
    <t>CF CHS 219,1 x 20</t>
  </si>
  <si>
    <t>CF CHS 244,5 x 6,3</t>
  </si>
  <si>
    <t>CF CHS 244,5 x 8</t>
  </si>
  <si>
    <t>CF CHS 244,5 x 10</t>
  </si>
  <si>
    <t>CF CHS 244,5 x 12,5</t>
  </si>
  <si>
    <t>CF CHS 244,5 x 14,2</t>
  </si>
  <si>
    <t>CF CHS 244,5 x 16</t>
  </si>
  <si>
    <t>CF CHS 244,5 x 20</t>
  </si>
  <si>
    <t>CF CHS 273 x 5,6</t>
  </si>
  <si>
    <t>CF CHS 273 x 6,3</t>
  </si>
  <si>
    <t>CF CHS 273 x 8</t>
  </si>
  <si>
    <t>CF CHS 273 x 10</t>
  </si>
  <si>
    <t>CF CHS 273 x 12,5</t>
  </si>
  <si>
    <t>CF CHS 273 x 14,2</t>
  </si>
  <si>
    <t>CF CHS 273 x 16</t>
  </si>
  <si>
    <t>CF CHS 273 x 20</t>
  </si>
  <si>
    <t>CF CHS 323,9 x 5</t>
  </si>
  <si>
    <t>CF CHS 323,9 x 5,6</t>
  </si>
  <si>
    <t>CF CHS 323,9 x 6,3</t>
  </si>
  <si>
    <t>CF CHS 323,9 x 7,1</t>
  </si>
  <si>
    <t>CF CHS 323,9 x 8</t>
  </si>
  <si>
    <t>CF CHS 323,9 x 10</t>
  </si>
  <si>
    <t>CF CHS 323,9 x 12,5</t>
  </si>
  <si>
    <t>CF CHS 323,9 x 14,2</t>
  </si>
  <si>
    <t>CF CHS 323,9 x 16</t>
  </si>
  <si>
    <t>CF CHS 323,9 x 17,5</t>
  </si>
  <si>
    <t>CF CHS 323,9 x 20</t>
  </si>
  <si>
    <t>CF CHS 355,6 x 5,6</t>
  </si>
  <si>
    <t>CF CHS 355,6 x 8</t>
  </si>
  <si>
    <t>CF CHS 355,6 x 10</t>
  </si>
  <si>
    <t>CF CHS 355,6 x 12,5</t>
  </si>
  <si>
    <t>CF CHS 355,6 x 14,2</t>
  </si>
  <si>
    <t>CF CHS 355,6 x 16</t>
  </si>
  <si>
    <t>CF CHS 355,6 x 17,5</t>
  </si>
  <si>
    <t>CF CHS 355,6 x 20</t>
  </si>
  <si>
    <t>CF CHS 406,4 x 6,3</t>
  </si>
  <si>
    <t>CF CHS 406,4 x 8</t>
  </si>
  <si>
    <t>CF CHS 406,4 x 8,8</t>
  </si>
  <si>
    <t>CF CHS 406,4 x 10</t>
  </si>
  <si>
    <t>CF CHS 406,4 x 12,5</t>
  </si>
  <si>
    <t>CF CHS 406,4 x 14,2</t>
  </si>
  <si>
    <t>CF CHS 406,4 x 16</t>
  </si>
  <si>
    <t>CF CHS 406,4 x 20</t>
  </si>
  <si>
    <t>CF CHS 508 x 5,6</t>
  </si>
  <si>
    <t>CF CHS 508 x 10</t>
  </si>
  <si>
    <t>CF CHS 508 x 12,5</t>
  </si>
  <si>
    <t>CF CHS 508 x 14,2</t>
  </si>
  <si>
    <t>CF CHS 508 x 16</t>
  </si>
  <si>
    <t>CF CHS 508 x 20</t>
  </si>
  <si>
    <t>CF SHS 20 x 2</t>
  </si>
  <si>
    <t>CF SHS 25 x 2</t>
  </si>
  <si>
    <t>CF SHS 25 x 3</t>
  </si>
  <si>
    <t>CF SHS 30 x 2</t>
  </si>
  <si>
    <t>CF SHS 30 x 3</t>
  </si>
  <si>
    <t>CF SHS 30 x 4</t>
  </si>
  <si>
    <t>CF SHS 35 x 2</t>
  </si>
  <si>
    <t>CF SHS 35 x 3</t>
  </si>
  <si>
    <t>CF SHS 40 x 2,5</t>
  </si>
  <si>
    <t>CF SHS 40 x 4</t>
  </si>
  <si>
    <t>CF SHS 45 x 3</t>
  </si>
  <si>
    <t>CF SHS 45 x 4</t>
  </si>
  <si>
    <t>CF SHS 50 x 2</t>
  </si>
  <si>
    <t>CF SHS 50 x 2,5</t>
  </si>
  <si>
    <t>CF SHS 50 x 4</t>
  </si>
  <si>
    <t>CF SHS 50 x 5</t>
  </si>
  <si>
    <t>CF SHS 60 x 2</t>
  </si>
  <si>
    <t>CF SHS 60 x 2,5</t>
  </si>
  <si>
    <t>CF SHS 60 x 4</t>
  </si>
  <si>
    <t>CF SHS 60 x 5</t>
  </si>
  <si>
    <t>CF SHS 60 x 6</t>
  </si>
  <si>
    <t>CF SHS 70 x 2</t>
  </si>
  <si>
    <t>CF SHS 70 x 4</t>
  </si>
  <si>
    <t>CF SHS 70 x 5</t>
  </si>
  <si>
    <t>CF SHS 70 x 6</t>
  </si>
  <si>
    <t>CF SHS 80 x 5</t>
  </si>
  <si>
    <t>CF SHS 80 x 6</t>
  </si>
  <si>
    <t>CF SHS 80 x 8</t>
  </si>
  <si>
    <t>CF SHS 90 x 3</t>
  </si>
  <si>
    <t>CF SHS 90 x 5</t>
  </si>
  <si>
    <t>CF SHS 90 x 6</t>
  </si>
  <si>
    <t>CF SHS 100 x 3</t>
  </si>
  <si>
    <t>CF SHS 100 x 6</t>
  </si>
  <si>
    <t>CF SHS 100 x 8</t>
  </si>
  <si>
    <t>CF SHS 100 x 10</t>
  </si>
  <si>
    <t>CF SHS 110 x 4</t>
  </si>
  <si>
    <t>CF SHS 110 x 5</t>
  </si>
  <si>
    <t>CF SHS 120 x 3</t>
  </si>
  <si>
    <t>CF SHS 120 x 4</t>
  </si>
  <si>
    <t>CF SHS 120 x 8</t>
  </si>
  <si>
    <t>CF SHS 120 x 10</t>
  </si>
  <si>
    <t>CF SHS 125 x 5</t>
  </si>
  <si>
    <t>CF SHS 140 x 4</t>
  </si>
  <si>
    <t>CF SHS 140 x 5</t>
  </si>
  <si>
    <t>CF SHS 140 x 8</t>
  </si>
  <si>
    <t>CF SHS 140 x 10</t>
  </si>
  <si>
    <t>CF SHS 150 x 4</t>
  </si>
  <si>
    <t>CF SHS 150 x 5</t>
  </si>
  <si>
    <t>CF SHS 150 x 8</t>
  </si>
  <si>
    <t>CF SHS 150 x 10</t>
  </si>
  <si>
    <t>CF SHS 150 x 12,5</t>
  </si>
  <si>
    <t>CF SHS 160 x 5</t>
  </si>
  <si>
    <t>CF SHS 160 x 8</t>
  </si>
  <si>
    <t>CF SHS 160 x 10</t>
  </si>
  <si>
    <t>CF SHS 180 x 8</t>
  </si>
  <si>
    <t>CF SHS 180 x 10</t>
  </si>
  <si>
    <t>CF SHS 180 x 12,5</t>
  </si>
  <si>
    <t>CF SHS 200 x 5</t>
  </si>
  <si>
    <t>CF SHS 200 x 8</t>
  </si>
  <si>
    <t>CF SHS 200 x 10</t>
  </si>
  <si>
    <t>CF SHS 200 x 12,5</t>
  </si>
  <si>
    <t>CF SHS 220 x 8</t>
  </si>
  <si>
    <t>CF SHS 220 x 10</t>
  </si>
  <si>
    <t>CF SHS 250 x 10</t>
  </si>
  <si>
    <t>CF SHS 250 x 12,5</t>
  </si>
  <si>
    <t>CF SHS 300 x 6</t>
  </si>
  <si>
    <t>CF SHS 300 x 10</t>
  </si>
  <si>
    <t>CF SHS 300 x 12,5</t>
  </si>
  <si>
    <t>CF SHS 300 x 16</t>
  </si>
  <si>
    <t>CF SHS 350 x 12,5</t>
  </si>
  <si>
    <t>CF SHS 400 x 12,5</t>
  </si>
  <si>
    <t>HF CHS 76,1 x 5</t>
  </si>
  <si>
    <t>HF CHS 76,1 x 5,6</t>
  </si>
  <si>
    <t>HF CHS 76,1 x 6,3</t>
  </si>
  <si>
    <t>HF CHS 76,1 x 7,1</t>
  </si>
  <si>
    <t>HF CHS 76,1 x 8</t>
  </si>
  <si>
    <t>HF CHS 76,1 x 8,8</t>
  </si>
  <si>
    <t>HF CHS 76,1 x 10</t>
  </si>
  <si>
    <t>HF CHS 76,1 x 12,5</t>
  </si>
  <si>
    <t>HF CHS 76,1 x 14,2</t>
  </si>
  <si>
    <t>HF CHS 76,1 x 16</t>
  </si>
  <si>
    <t>HF CHS 76,1 x 17,5</t>
  </si>
  <si>
    <t>HF CHS 76,1 x 20</t>
  </si>
  <si>
    <t>HF CHS 88,9 x 5</t>
  </si>
  <si>
    <t>HF CHS 88,9 x 5,6</t>
  </si>
  <si>
    <t>HF CHS 88,9 x 6,3</t>
  </si>
  <si>
    <t>HF CHS 88,9 x 7,1</t>
  </si>
  <si>
    <t>HF CHS 88,9 x 8</t>
  </si>
  <si>
    <t>HF CHS 88,9 x 8,8</t>
  </si>
  <si>
    <t>HF CHS 88,9 x 10</t>
  </si>
  <si>
    <t>HF CHS 88,9 x 12,5</t>
  </si>
  <si>
    <t>HF CHS 88,9 x 16</t>
  </si>
  <si>
    <t>HF CHS 88,9 x 17,5</t>
  </si>
  <si>
    <t>HF CHS 88,9 x 20</t>
  </si>
  <si>
    <t>HF CHS 101,6 x 5</t>
  </si>
  <si>
    <t>HF CHS 101,6 x 6,3</t>
  </si>
  <si>
    <t>HF CHS 101,6 x 7,1</t>
  </si>
  <si>
    <t>HF CHS 101,6 x 8</t>
  </si>
  <si>
    <t>HF CHS 101,6 x 8,8</t>
  </si>
  <si>
    <t>HF CHS 101,6 x 10</t>
  </si>
  <si>
    <t>HF CHS 101,6 x 12,5</t>
  </si>
  <si>
    <t>HF CHS 101,6 x 16</t>
  </si>
  <si>
    <t>HF CHS 101,6 x 17,5</t>
  </si>
  <si>
    <t>HF CHS 101,6 x 20</t>
  </si>
  <si>
    <t>HF CHS 114,3 x 5</t>
  </si>
  <si>
    <t>HF CHS 114,3 x 5,6</t>
  </si>
  <si>
    <t>HF CHS 114,3 x 6,3</t>
  </si>
  <si>
    <t>HF CHS 114,3 x 7,1</t>
  </si>
  <si>
    <t>HF CHS 114,3 x 8</t>
  </si>
  <si>
    <t>HF CHS 114,3 x 10</t>
  </si>
  <si>
    <t>HF CHS 114,3 x 12,5</t>
  </si>
  <si>
    <t>HF CHS 114,3 x 14,2</t>
  </si>
  <si>
    <t>HF CHS 114,3 x 16</t>
  </si>
  <si>
    <t>HF CHS 114,3 x 17,5</t>
  </si>
  <si>
    <t>HF CHS 114,3 x 20</t>
  </si>
  <si>
    <t>HF CHS 121 x 5</t>
  </si>
  <si>
    <t>HF CHS 121 x 5,6</t>
  </si>
  <si>
    <t>HF CHS 121 x 6,3</t>
  </si>
  <si>
    <t>HF CHS 121 x 8</t>
  </si>
  <si>
    <t>HF CHS 121 x 10</t>
  </si>
  <si>
    <t>HF CHS 121 x 12,5</t>
  </si>
  <si>
    <t>HF CHS 121 x 16</t>
  </si>
  <si>
    <t>HF CHS 121 x 17,5</t>
  </si>
  <si>
    <t>HF CHS 121 x 20</t>
  </si>
  <si>
    <t>HF CHS 127 x 5</t>
  </si>
  <si>
    <t>HF CHS 127 x 6,3</t>
  </si>
  <si>
    <t>HF CHS 127 x 7,1</t>
  </si>
  <si>
    <t>HF CHS 127 x 8</t>
  </si>
  <si>
    <t>HF CHS 127 x 10</t>
  </si>
  <si>
    <t>HF CHS 127 x 12,5</t>
  </si>
  <si>
    <t>HF CHS 127 x 14,2</t>
  </si>
  <si>
    <t>HF CHS 127 x 16</t>
  </si>
  <si>
    <t>HF CHS 127 x 17,5</t>
  </si>
  <si>
    <t>HF CHS 127 x 20</t>
  </si>
  <si>
    <t>HF CHS 133 x 5</t>
  </si>
  <si>
    <t>HF CHS 133 x 6,3</t>
  </si>
  <si>
    <t>HF CHS 133 x 7,1</t>
  </si>
  <si>
    <t>HF CHS 133 x 8</t>
  </si>
  <si>
    <t>HF CHS 133 x 10</t>
  </si>
  <si>
    <t>HF CHS 133 x 12,5</t>
  </si>
  <si>
    <t>HF CHS 133 x 14,2</t>
  </si>
  <si>
    <t>HF CHS 133 x 16</t>
  </si>
  <si>
    <t>HF CHS 133 x 17,5</t>
  </si>
  <si>
    <t>HF CHS 133 x 20</t>
  </si>
  <si>
    <t>HF CHS 139,7 x 5</t>
  </si>
  <si>
    <t>HF CHS 139,7 x 5,6</t>
  </si>
  <si>
    <t>HF CHS 139,7 x 6,3</t>
  </si>
  <si>
    <t>HF CHS 139,7 x 7,1</t>
  </si>
  <si>
    <t>HF CHS 139,7 x 8</t>
  </si>
  <si>
    <t>HF CHS 139,7 x 10</t>
  </si>
  <si>
    <t>HF CHS 139,7 x 12,5</t>
  </si>
  <si>
    <t>HF CHS 139,7 x 14,2</t>
  </si>
  <si>
    <t>HF CHS 139,7 x 16</t>
  </si>
  <si>
    <t>HF CHS 139,7 x 20</t>
  </si>
  <si>
    <t>HF CHS 152,4 x 5,6</t>
  </si>
  <si>
    <t>HF CHS 152,4 x 6,3</t>
  </si>
  <si>
    <t>HF CHS 152,4 x 8</t>
  </si>
  <si>
    <t>HF CHS 152,4 x 10</t>
  </si>
  <si>
    <t>HF CHS 152,4 x 12,5</t>
  </si>
  <si>
    <t>HF CHS 152,4 x 14,2</t>
  </si>
  <si>
    <t>HF CHS 152,4 x 16</t>
  </si>
  <si>
    <t>HF CHS 152,4 x 17,5</t>
  </si>
  <si>
    <t>HF CHS 152,4 x 20</t>
  </si>
  <si>
    <t>HF CHS 159 x 5,6</t>
  </si>
  <si>
    <t>HF CHS 159 x 6,3</t>
  </si>
  <si>
    <t>HF CHS 159 x 7,1</t>
  </si>
  <si>
    <t>HF CHS 159 x 8</t>
  </si>
  <si>
    <t>HF CHS 159 x 10</t>
  </si>
  <si>
    <t>HF CHS 159 x 12,5</t>
  </si>
  <si>
    <t>HF CHS 159 x 14,2</t>
  </si>
  <si>
    <t>HF CHS 159 x 16</t>
  </si>
  <si>
    <t>HF CHS 159 x 17,5</t>
  </si>
  <si>
    <t>HF CHS 159 x 20</t>
  </si>
  <si>
    <t>HF CHS 168,3 x 5,6</t>
  </si>
  <si>
    <t>HF CHS 168,3 x 6,3</t>
  </si>
  <si>
    <t>HF CHS 168,3 x 7,1</t>
  </si>
  <si>
    <t>HF CHS 168,3 x 8</t>
  </si>
  <si>
    <t>HF CHS 168,3 x 8,8</t>
  </si>
  <si>
    <t>HF CHS 168,3 x 10</t>
  </si>
  <si>
    <t>HF CHS 168,3 x 12,5</t>
  </si>
  <si>
    <t>HF CHS 168,3 x 14,2</t>
  </si>
  <si>
    <t>HF CHS 168,3 x 16</t>
  </si>
  <si>
    <t>HF CHS 168,3 x 20</t>
  </si>
  <si>
    <t>HF CHS 177,8 x 6,3</t>
  </si>
  <si>
    <t>HF CHS 177,8 x 8</t>
  </si>
  <si>
    <t>HF CHS 177,8 x 8,8</t>
  </si>
  <si>
    <t>HF CHS 177,8 x 10</t>
  </si>
  <si>
    <t>HF CHS 177,8 x 12,5</t>
  </si>
  <si>
    <t>HF CHS 177,8 x 14,2</t>
  </si>
  <si>
    <t>HF CHS 177,8 x 16</t>
  </si>
  <si>
    <t>HF CHS 177,8 x 20</t>
  </si>
  <si>
    <t>HF CHS 193,7 x 5,6</t>
  </si>
  <si>
    <t>HF CHS 193,7 x 6,3</t>
  </si>
  <si>
    <t>HF CHS 193,7 x 7,1</t>
  </si>
  <si>
    <t>HF CHS 193,7 x 8</t>
  </si>
  <si>
    <t>HF CHS 193,7 x 8,8</t>
  </si>
  <si>
    <t>HF CHS 193,7 x 10</t>
  </si>
  <si>
    <t>HF CHS 193,7 x 12,5</t>
  </si>
  <si>
    <t>HF CHS 193,7 x 14,2</t>
  </si>
  <si>
    <t>HF CHS 193,7 x 16</t>
  </si>
  <si>
    <t>HF CHS 193,7 x 20</t>
  </si>
  <si>
    <t>HF CHS 219,1 x 5,6</t>
  </si>
  <si>
    <t>HF CHS 219,1 x 6,3</t>
  </si>
  <si>
    <t>HF CHS 219,1 x 7,1</t>
  </si>
  <si>
    <t>HF CHS 219,1 x 8</t>
  </si>
  <si>
    <t>HF CHS 219,1 x 8,8</t>
  </si>
  <si>
    <t>HF CHS 219,1 x 10</t>
  </si>
  <si>
    <t>HF CHS 219,1 x 12,5</t>
  </si>
  <si>
    <t>HF CHS 219,1 x 14,2</t>
  </si>
  <si>
    <t>HF CHS 219,1 x 16</t>
  </si>
  <si>
    <t>HF CHS 219,1 x 20</t>
  </si>
  <si>
    <t>HF CHS 244,5 x 6,3</t>
  </si>
  <si>
    <t>HF CHS 244,5 x 8</t>
  </si>
  <si>
    <t>HF CHS 244,5 x 10</t>
  </si>
  <si>
    <t>HF CHS 244,5 x 12,5</t>
  </si>
  <si>
    <t>HF CHS 244,5 x 14,2</t>
  </si>
  <si>
    <t>HF CHS 244,5 x 16</t>
  </si>
  <si>
    <t>HF CHS 244,5 x 20</t>
  </si>
  <si>
    <t>HF CHS 273 x 5,6</t>
  </si>
  <si>
    <t>HF CHS 273 x 6,3</t>
  </si>
  <si>
    <t>HF CHS 273 x 8</t>
  </si>
  <si>
    <t>HF CHS 273 x 10</t>
  </si>
  <si>
    <t>HF CHS 273 x 12,5</t>
  </si>
  <si>
    <t>HF CHS 273 x 14,2</t>
  </si>
  <si>
    <t>HF CHS 273 x 16</t>
  </si>
  <si>
    <t>HF CHS 273 x 20</t>
  </si>
  <si>
    <t>HF CHS 323,9 x 5</t>
  </si>
  <si>
    <t>HF CHS 323,9 x 5,6</t>
  </si>
  <si>
    <t>HF CHS 323,9 x 6,3</t>
  </si>
  <si>
    <t>HF CHS 323,9 x 7,1</t>
  </si>
  <si>
    <t>HF CHS 323,9 x 8</t>
  </si>
  <si>
    <t>HF CHS 323,9 x 10</t>
  </si>
  <si>
    <t>HF CHS 323,9 x 12,5</t>
  </si>
  <si>
    <t>HF CHS 323,9 x 14,2</t>
  </si>
  <si>
    <t>HF CHS 323,9 x 16</t>
  </si>
  <si>
    <t>HF CHS 323,9 x 17,5</t>
  </si>
  <si>
    <t>HF CHS 323,9 x 20</t>
  </si>
  <si>
    <t>HF CHS 355,6 x 5,6</t>
  </si>
  <si>
    <t>HF CHS 355,6 x 8</t>
  </si>
  <si>
    <t>HF CHS 355,6 x 10</t>
  </si>
  <si>
    <t>HF CHS 355,6 x 12,5</t>
  </si>
  <si>
    <t>HF CHS 355,6 x 14,2</t>
  </si>
  <si>
    <t>HF CHS 355,6 x 16</t>
  </si>
  <si>
    <t>HF CHS 355,6 x 17,5</t>
  </si>
  <si>
    <t>HF CHS 355,6 x 20</t>
  </si>
  <si>
    <t>HF CHS 406,4 x 6,3</t>
  </si>
  <si>
    <t>HF CHS 406,4 x 8</t>
  </si>
  <si>
    <t>HF CHS 406,4 x 8,8</t>
  </si>
  <si>
    <t>HF CHS 406,4 x 10</t>
  </si>
  <si>
    <t>HF CHS 406,4 x 12,5</t>
  </si>
  <si>
    <t>HF CHS 406,4 x 14,2</t>
  </si>
  <si>
    <t>HF CHS 406,4 x 16</t>
  </si>
  <si>
    <t>HF CHS 406,4 x 20</t>
  </si>
  <si>
    <t>HF CHS 508 x 5,6</t>
  </si>
  <si>
    <t>HF CHS 508 x 10</t>
  </si>
  <si>
    <t>HF CHS 508 x 12,5</t>
  </si>
  <si>
    <t>HF CHS 508 x 14,2</t>
  </si>
  <si>
    <t>HF CHS 508 x 16</t>
  </si>
  <si>
    <t>HF CHS 508 x 20</t>
  </si>
  <si>
    <t>HF SHS 40 x 2,9</t>
  </si>
  <si>
    <t>HF SHS 40 x 4</t>
  </si>
  <si>
    <t>HF SHS 40 x 5</t>
  </si>
  <si>
    <t>HF SHS 50 x 2,9</t>
  </si>
  <si>
    <t>HF SHS 50 x 4</t>
  </si>
  <si>
    <t>HF SHS 50 x 5</t>
  </si>
  <si>
    <t>HF SHS 50 x 6,3</t>
  </si>
  <si>
    <t>HF SHS 60 x 4</t>
  </si>
  <si>
    <t>HF SHS 60 x 5</t>
  </si>
  <si>
    <t>HF SHS 60 x 6,3</t>
  </si>
  <si>
    <t>HF SHS 60 x 8</t>
  </si>
  <si>
    <t>HF SHS 70 x 4</t>
  </si>
  <si>
    <t>HF SHS 70 x 5</t>
  </si>
  <si>
    <t>HF SHS 70 x 6,3</t>
  </si>
  <si>
    <t>HF SHS 70 x 8</t>
  </si>
  <si>
    <t>HF SHS 80 x 3,6</t>
  </si>
  <si>
    <t>HF SHS 80 x 5</t>
  </si>
  <si>
    <t>HF SHS 80 x 6,3</t>
  </si>
  <si>
    <t>HF SHS 80 x 8</t>
  </si>
  <si>
    <t>HF SHS 80 x 8,8</t>
  </si>
  <si>
    <t>HF SHS 90 x 5</t>
  </si>
  <si>
    <t>HF SHS 90 x 6,3</t>
  </si>
  <si>
    <t>HF SHS 90 x 7,1</t>
  </si>
  <si>
    <t>HF SHS 90 x 8</t>
  </si>
  <si>
    <t>HF SHS 90 x 8,8</t>
  </si>
  <si>
    <t>HF SHS 100 x 6,3</t>
  </si>
  <si>
    <t>HF SHS 100 x 8</t>
  </si>
  <si>
    <t>HF SHS 100 x 10</t>
  </si>
  <si>
    <t>HF SHS 100 x 12,5</t>
  </si>
  <si>
    <t>HF SHS 110 x 6,3</t>
  </si>
  <si>
    <t>HF SHS 110 x 8</t>
  </si>
  <si>
    <t>HF SHS 110 x 10</t>
  </si>
  <si>
    <t>HF SHS 120 x 6,3</t>
  </si>
  <si>
    <t>HF SHS 120 x 7,1</t>
  </si>
  <si>
    <t>HF SHS 120 x 8</t>
  </si>
  <si>
    <t>HF SHS 120 x 10</t>
  </si>
  <si>
    <t>HF SHS 120 x 12,5</t>
  </si>
  <si>
    <t>HF SHS 140 x 5</t>
  </si>
  <si>
    <t>HF SHS 140 x 6,3</t>
  </si>
  <si>
    <t>HF SHS 140 x 7,1</t>
  </si>
  <si>
    <t>HF SHS 140 x 8</t>
  </si>
  <si>
    <t>HF SHS 140 x 10</t>
  </si>
  <si>
    <t>HF SHS 140 x 12,5</t>
  </si>
  <si>
    <t>HF SHS 150 x 6,3</t>
  </si>
  <si>
    <t>HF SHS 150 x 8</t>
  </si>
  <si>
    <t>HF SHS 150 x 10</t>
  </si>
  <si>
    <t>HF SHS 150 x 12,5</t>
  </si>
  <si>
    <t>HF SHS 150 x 16</t>
  </si>
  <si>
    <t>HF SHS 160 x 6,3</t>
  </si>
  <si>
    <t>HF SHS 160 x 8</t>
  </si>
  <si>
    <t>HF SHS 160 x 10</t>
  </si>
  <si>
    <t>HF SHS 160 x 12,5</t>
  </si>
  <si>
    <t>HF SHS 180 x 6,3</t>
  </si>
  <si>
    <t>HF SHS 180 x 8</t>
  </si>
  <si>
    <t>HF SHS 180 x 10</t>
  </si>
  <si>
    <t>HF SHS 180 x 12,5</t>
  </si>
  <si>
    <t>HF SHS 200 x 6,3</t>
  </si>
  <si>
    <t>HF SHS 200 x 8</t>
  </si>
  <si>
    <t>HF SHS 200 x 10</t>
  </si>
  <si>
    <t>HF SHS 200 x 12,5</t>
  </si>
  <si>
    <t>HF SHS 200 x 16</t>
  </si>
  <si>
    <t>HF SHS 200 x 20</t>
  </si>
  <si>
    <t>HF SHS 220 x 6,3</t>
  </si>
  <si>
    <t>HF SHS 220 x 10</t>
  </si>
  <si>
    <t>HF SHS 220 x 12,5</t>
  </si>
  <si>
    <t>HF SHS 220 x 16</t>
  </si>
  <si>
    <t>HF SHS 250 x 6,3</t>
  </si>
  <si>
    <t>HF SHS 250 x 10</t>
  </si>
  <si>
    <t>HF SHS 250 x 12,5</t>
  </si>
  <si>
    <t>HF SHS 250 x 16</t>
  </si>
  <si>
    <t>HF SHS 250 x 20</t>
  </si>
  <si>
    <t>HF SHS 260 x 7,1</t>
  </si>
  <si>
    <t>HF SHS 260 x 11</t>
  </si>
  <si>
    <t>HF SHS 300 x 10</t>
  </si>
  <si>
    <t>HF SHS 300 x 12,5</t>
  </si>
  <si>
    <t>HF SHS 300 x 16</t>
  </si>
  <si>
    <t>HF SHS 350 x 12,5</t>
  </si>
  <si>
    <t>HF SHS 350 x 16</t>
  </si>
  <si>
    <t>HF SHS 400 x 12,5</t>
  </si>
  <si>
    <t>profieltype:</t>
    <phoneticPr fontId="0" type="noConversion"/>
  </si>
  <si>
    <t>vierkante buis, koud</t>
  </si>
  <si>
    <t>vierkante buis, warm</t>
  </si>
  <si>
    <t>ronde buis, koud</t>
  </si>
  <si>
    <t>ronde buis, warm</t>
  </si>
  <si>
    <t>5</t>
  </si>
  <si>
    <t>5,6</t>
  </si>
  <si>
    <t>6,3</t>
  </si>
  <si>
    <t>7,1</t>
  </si>
  <si>
    <t>8</t>
  </si>
  <si>
    <t>8,8</t>
  </si>
  <si>
    <t>10</t>
  </si>
  <si>
    <t>12,5</t>
  </si>
  <si>
    <t>14,2</t>
  </si>
  <si>
    <t>16</t>
  </si>
  <si>
    <t>17,5</t>
  </si>
  <si>
    <t>20</t>
  </si>
  <si>
    <t>HD 260 x 54,1</t>
  </si>
  <si>
    <t>HD 260 x 68,2</t>
  </si>
  <si>
    <t>HD 260 x 93</t>
  </si>
  <si>
    <t>HD 260 x 114</t>
  </si>
  <si>
    <t>HD 260 x 142</t>
  </si>
  <si>
    <t>HD 260 x 172</t>
  </si>
  <si>
    <t>HD 260 x 225</t>
  </si>
  <si>
    <t>HD 260 x 299</t>
  </si>
  <si>
    <t>HD 320 x 74,2</t>
  </si>
  <si>
    <t>HD 320 x 97,6</t>
  </si>
  <si>
    <t>HD 320 x 127</t>
  </si>
  <si>
    <t>HD 320 x 158</t>
  </si>
  <si>
    <t>HD 320 x 198</t>
  </si>
  <si>
    <t>HD 320 x 245</t>
  </si>
  <si>
    <t>HD 320 x 300</t>
  </si>
  <si>
    <t>HD 320 x 368</t>
  </si>
  <si>
    <t>HD 320 x 451</t>
  </si>
  <si>
    <t>HD 360 x 134</t>
  </si>
  <si>
    <t>HD 360 x 147</t>
  </si>
  <si>
    <t>HD 360 x 162</t>
  </si>
  <si>
    <t>HD 360 x 179</t>
  </si>
  <si>
    <t>HD 360 x 196</t>
  </si>
  <si>
    <t>HD 400 x 187</t>
  </si>
  <si>
    <t>HD 400 x 216</t>
  </si>
  <si>
    <t>HD 400 x 237</t>
  </si>
  <si>
    <t>HD 400 x 262</t>
  </si>
  <si>
    <t>HD 400 x 287</t>
  </si>
  <si>
    <t>HD 400 x 314</t>
  </si>
  <si>
    <t>HD 400 x 347</t>
  </si>
  <si>
    <t>HD 400 x 382</t>
  </si>
  <si>
    <t>HD 400 x 421</t>
  </si>
  <si>
    <t>HD 400 x 463</t>
  </si>
  <si>
    <t>HD 400 x 509</t>
  </si>
  <si>
    <t>HD 400 x 551</t>
  </si>
  <si>
    <t>HD 400 x 592</t>
  </si>
  <si>
    <t>HD 400 x 634</t>
  </si>
  <si>
    <t>HD 400 x 677</t>
  </si>
  <si>
    <t>HD 400 x 744</t>
  </si>
  <si>
    <t>HD 400 x 818</t>
  </si>
  <si>
    <t>HD 400 x 900</t>
  </si>
  <si>
    <t>HD 400 x 990</t>
  </si>
  <si>
    <t>HD 400 x 1086</t>
  </si>
  <si>
    <t>HEAA 100</t>
  </si>
  <si>
    <t>HEAA 120</t>
  </si>
  <si>
    <t>HEAA 140</t>
  </si>
  <si>
    <t>HEAA 160</t>
  </si>
  <si>
    <t>HEAA 180</t>
  </si>
  <si>
    <t>HEAA 200</t>
  </si>
  <si>
    <t>HEAA 220</t>
  </si>
  <si>
    <t>HEAA 240</t>
  </si>
  <si>
    <t>HEAA 260</t>
  </si>
  <si>
    <t>HEAA 280</t>
  </si>
  <si>
    <t>HEAA 300</t>
  </si>
  <si>
    <t>HEAA 320</t>
  </si>
  <si>
    <t>HEAA 340</t>
  </si>
  <si>
    <t>HEAA 360</t>
  </si>
  <si>
    <t>HEAA 400</t>
  </si>
  <si>
    <t>HEAA 450</t>
  </si>
  <si>
    <t>HEAA 500</t>
  </si>
  <si>
    <t>HEAA 550</t>
  </si>
  <si>
    <t>HEAA 600</t>
  </si>
  <si>
    <t>HEAA 650</t>
  </si>
  <si>
    <t>HEAA 700</t>
  </si>
  <si>
    <t>HEAA 800</t>
  </si>
  <si>
    <t>HEAA 900</t>
  </si>
  <si>
    <t>HEAA 1000</t>
  </si>
  <si>
    <r>
      <t>W</t>
    </r>
    <r>
      <rPr>
        <b/>
        <vertAlign val="subscript"/>
        <sz val="10"/>
        <rFont val="Arial"/>
        <family val="2"/>
      </rPr>
      <t>y</t>
    </r>
  </si>
  <si>
    <r>
      <t>M</t>
    </r>
    <r>
      <rPr>
        <b/>
        <vertAlign val="subscript"/>
        <sz val="10"/>
        <rFont val="Arial"/>
        <family val="2"/>
      </rPr>
      <t>cr</t>
    </r>
  </si>
  <si>
    <t>Normaalkracht</t>
  </si>
  <si>
    <t>Buiging sterke as</t>
  </si>
  <si>
    <t>Buiging zwakke as</t>
  </si>
  <si>
    <r>
      <rPr>
        <sz val="10"/>
        <rFont val="Symbol"/>
        <family val="1"/>
      </rPr>
      <t>y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=</t>
    </r>
  </si>
  <si>
    <r>
      <t>b</t>
    </r>
    <r>
      <rPr>
        <vertAlign val="subscript"/>
        <sz val="10"/>
        <rFont val="Arial"/>
        <family val="2"/>
      </rPr>
      <t>M,y,</t>
    </r>
    <r>
      <rPr>
        <vertAlign val="subscript"/>
        <sz val="10"/>
        <rFont val="Symbol"/>
        <family val="1"/>
      </rPr>
      <t>y</t>
    </r>
    <r>
      <rPr>
        <sz val="10"/>
        <rFont val="Arial"/>
        <family val="2"/>
      </rPr>
      <t xml:space="preserve"> =</t>
    </r>
  </si>
  <si>
    <t>vorm momentenlijn als gevolg van dwarsbelasting:</t>
  </si>
  <si>
    <t>parabolisch</t>
  </si>
  <si>
    <t>driehoekig</t>
  </si>
  <si>
    <r>
      <t>b</t>
    </r>
    <r>
      <rPr>
        <vertAlign val="subscript"/>
        <sz val="10"/>
        <rFont val="Arial"/>
        <family val="2"/>
      </rPr>
      <t>M,y,Q</t>
    </r>
    <r>
      <rPr>
        <sz val="10"/>
        <rFont val="Arial"/>
        <family val="2"/>
      </rPr>
      <t xml:space="preserve"> =</t>
    </r>
  </si>
  <si>
    <r>
      <t>rekenwaarde kleinste eindmoment</t>
    </r>
    <r>
      <rPr>
        <sz val="10"/>
        <rFont val="Arial"/>
        <family val="2"/>
      </rPr>
      <t>,</t>
    </r>
    <r>
      <rPr>
        <sz val="10"/>
        <rFont val="Arial"/>
        <family val="2"/>
      </rPr>
      <t xml:space="preserve"> M</t>
    </r>
    <r>
      <rPr>
        <vertAlign val="subscript"/>
        <sz val="10"/>
        <rFont val="Arial"/>
        <family val="2"/>
      </rPr>
      <t>y,2</t>
    </r>
    <r>
      <rPr>
        <sz val="10"/>
        <rFont val="Arial"/>
        <family val="2"/>
      </rPr>
      <t xml:space="preserve"> =</t>
    </r>
  </si>
  <si>
    <r>
      <t>rekenwaarde grootste (absoluut) eindmoment</t>
    </r>
    <r>
      <rPr>
        <sz val="10"/>
        <rFont val="Arial"/>
        <family val="2"/>
      </rPr>
      <t>,</t>
    </r>
    <r>
      <rPr>
        <sz val="10"/>
        <rFont val="Arial"/>
        <family val="2"/>
      </rPr>
      <t xml:space="preserve"> M</t>
    </r>
    <r>
      <rPr>
        <vertAlign val="subscript"/>
        <sz val="10"/>
        <rFont val="Arial"/>
        <family val="2"/>
      </rPr>
      <t>y,1</t>
    </r>
    <r>
      <rPr>
        <sz val="10"/>
        <rFont val="Arial"/>
        <family val="2"/>
      </rPr>
      <t xml:space="preserve"> =</t>
    </r>
  </si>
  <si>
    <t>Belastingen en krachtsverdeling</t>
  </si>
  <si>
    <r>
      <t>rekenwaarde grootste (absoluut) eindmoment</t>
    </r>
    <r>
      <rPr>
        <sz val="10"/>
        <rFont val="Arial"/>
        <family val="2"/>
      </rPr>
      <t>,</t>
    </r>
    <r>
      <rPr>
        <sz val="10"/>
        <rFont val="Arial"/>
        <family val="2"/>
      </rPr>
      <t xml:space="preserve"> M</t>
    </r>
    <r>
      <rPr>
        <vertAlign val="subscript"/>
        <sz val="10"/>
        <rFont val="Arial"/>
        <family val="2"/>
      </rPr>
      <t>z,1</t>
    </r>
    <r>
      <rPr>
        <sz val="10"/>
        <rFont val="Arial"/>
        <family val="2"/>
      </rPr>
      <t xml:space="preserve"> =</t>
    </r>
  </si>
  <si>
    <r>
      <t>rekenwaarde kleinste eindmoment</t>
    </r>
    <r>
      <rPr>
        <sz val="10"/>
        <rFont val="Arial"/>
        <family val="2"/>
      </rPr>
      <t>,</t>
    </r>
    <r>
      <rPr>
        <sz val="10"/>
        <rFont val="Arial"/>
        <family val="2"/>
      </rPr>
      <t xml:space="preserve"> M</t>
    </r>
    <r>
      <rPr>
        <vertAlign val="subscript"/>
        <sz val="10"/>
        <rFont val="Arial"/>
        <family val="2"/>
      </rPr>
      <t>z,2</t>
    </r>
    <r>
      <rPr>
        <sz val="10"/>
        <rFont val="Arial"/>
        <family val="2"/>
      </rPr>
      <t xml:space="preserve"> =</t>
    </r>
  </si>
  <si>
    <r>
      <rPr>
        <sz val="10"/>
        <rFont val="Symbol"/>
        <family val="1"/>
      </rPr>
      <t>y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=</t>
    </r>
  </si>
  <si>
    <r>
      <t>b</t>
    </r>
    <r>
      <rPr>
        <vertAlign val="subscript"/>
        <sz val="10"/>
        <rFont val="Arial"/>
        <family val="2"/>
      </rPr>
      <t>M,z,</t>
    </r>
    <r>
      <rPr>
        <vertAlign val="subscript"/>
        <sz val="10"/>
        <rFont val="Symbol"/>
        <family val="1"/>
      </rPr>
      <t>y</t>
    </r>
    <r>
      <rPr>
        <sz val="10"/>
        <rFont val="Arial"/>
        <family val="2"/>
      </rPr>
      <t xml:space="preserve"> =</t>
    </r>
  </si>
  <si>
    <r>
      <t>b</t>
    </r>
    <r>
      <rPr>
        <vertAlign val="subscript"/>
        <sz val="10"/>
        <rFont val="Arial"/>
        <family val="2"/>
      </rPr>
      <t>M,z,Q</t>
    </r>
    <r>
      <rPr>
        <sz val="10"/>
        <rFont val="Arial"/>
        <family val="2"/>
      </rPr>
      <t xml:space="preserve"> =</t>
    </r>
  </si>
  <si>
    <r>
      <t>b</t>
    </r>
    <r>
      <rPr>
        <vertAlign val="subscript"/>
        <sz val="10"/>
        <rFont val="Arial"/>
        <family val="2"/>
      </rPr>
      <t>M,z</t>
    </r>
    <r>
      <rPr>
        <sz val="10"/>
        <rFont val="Arial"/>
        <family val="2"/>
      </rPr>
      <t xml:space="preserve"> =</t>
    </r>
  </si>
  <si>
    <r>
      <rPr>
        <sz val="10"/>
        <rFont val="Symbol"/>
        <family val="1"/>
      </rPr>
      <t>D</t>
    </r>
    <r>
      <rPr>
        <sz val="10"/>
        <rFont val="Arial"/>
        <family val="2"/>
      </rPr>
      <t>M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=</t>
    </r>
  </si>
  <si>
    <r>
      <rPr>
        <sz val="10"/>
        <rFont val="Symbol"/>
        <family val="1"/>
      </rPr>
      <t>D</t>
    </r>
    <r>
      <rPr>
        <sz val="10"/>
        <rFont val="Arial"/>
        <family val="2"/>
      </rPr>
      <t>M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=</t>
    </r>
  </si>
  <si>
    <r>
      <t xml:space="preserve">rekenwaarde maximaal moment (absolute waarde), </t>
    </r>
    <r>
      <rPr>
        <sz val="10"/>
        <rFont val="Arial"/>
        <family val="2"/>
      </rPr>
      <t>E</t>
    </r>
    <r>
      <rPr>
        <vertAlign val="subscript"/>
        <sz val="10"/>
        <rFont val="Arial"/>
        <family val="2"/>
      </rPr>
      <t>fi,d2</t>
    </r>
    <r>
      <rPr>
        <sz val="10"/>
        <rFont val="Arial"/>
        <family val="2"/>
      </rPr>
      <t xml:space="preserve"> =</t>
    </r>
  </si>
  <si>
    <r>
      <t xml:space="preserve">rekenwaarde maximaal moment (absolute waarde), </t>
    </r>
    <r>
      <rPr>
        <sz val="10"/>
        <rFont val="Arial"/>
        <family val="2"/>
      </rPr>
      <t>E</t>
    </r>
    <r>
      <rPr>
        <vertAlign val="subscript"/>
        <sz val="10"/>
        <rFont val="Arial"/>
        <family val="2"/>
      </rPr>
      <t>fi,d3</t>
    </r>
    <r>
      <rPr>
        <sz val="10"/>
        <rFont val="Arial"/>
        <family val="2"/>
      </rPr>
      <t xml:space="preserve"> =</t>
    </r>
  </si>
  <si>
    <r>
      <t xml:space="preserve">Equivalente uniforme momentfactoren 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M,y</t>
    </r>
    <r>
      <rPr>
        <sz val="10"/>
        <rFont val="Arial"/>
        <family val="2"/>
      </rPr>
      <t xml:space="preserve"> en 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M,z</t>
    </r>
    <r>
      <rPr>
        <sz val="10"/>
        <rFont val="Arial"/>
        <family val="2"/>
      </rPr>
      <t xml:space="preserve"> op basis van figuur 4.2 van NEN-EN 1993-1-2. Er wordt aangenomen dat 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M,LT</t>
    </r>
    <r>
      <rPr>
        <sz val="10"/>
        <rFont val="Arial"/>
        <family val="2"/>
      </rPr>
      <t xml:space="preserve"> = 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M,z</t>
    </r>
    <r>
      <rPr>
        <sz val="10"/>
        <rFont val="Arial"/>
        <family val="2"/>
      </rPr>
      <t>.</t>
    </r>
  </si>
  <si>
    <t>walsprofiel</t>
  </si>
  <si>
    <r>
      <t>Bepaling M</t>
    </r>
    <r>
      <rPr>
        <b/>
        <vertAlign val="subscript"/>
        <sz val="14"/>
        <rFont val="Arial"/>
        <family val="2"/>
      </rPr>
      <t>y,max</t>
    </r>
  </si>
  <si>
    <t>Mogelijke situaties</t>
  </si>
  <si>
    <r>
      <t>A. M</t>
    </r>
    <r>
      <rPr>
        <vertAlign val="subscript"/>
        <sz val="10"/>
        <rFont val="Arial"/>
        <family val="2"/>
      </rPr>
      <t>y,1</t>
    </r>
    <r>
      <rPr>
        <sz val="10"/>
        <rFont val="Arial"/>
        <family val="2"/>
      </rPr>
      <t xml:space="preserve"> = positief en M</t>
    </r>
    <r>
      <rPr>
        <vertAlign val="subscript"/>
        <sz val="10"/>
        <rFont val="Arial"/>
        <family val="2"/>
      </rPr>
      <t>y,2</t>
    </r>
    <r>
      <rPr>
        <sz val="10"/>
        <rFont val="Arial"/>
        <family val="2"/>
      </rPr>
      <t xml:space="preserve"> = positief</t>
    </r>
  </si>
  <si>
    <r>
      <t>B. M</t>
    </r>
    <r>
      <rPr>
        <vertAlign val="subscript"/>
        <sz val="10"/>
        <rFont val="Arial"/>
        <family val="2"/>
      </rPr>
      <t>y,1</t>
    </r>
    <r>
      <rPr>
        <sz val="10"/>
        <rFont val="Arial"/>
        <family val="2"/>
      </rPr>
      <t xml:space="preserve"> = positief en M</t>
    </r>
    <r>
      <rPr>
        <vertAlign val="subscript"/>
        <sz val="10"/>
        <rFont val="Arial"/>
        <family val="2"/>
      </rPr>
      <t>y,2</t>
    </r>
    <r>
      <rPr>
        <sz val="10"/>
        <rFont val="Arial"/>
        <family val="2"/>
      </rPr>
      <t xml:space="preserve"> = negatief</t>
    </r>
  </si>
  <si>
    <r>
      <t>C. M</t>
    </r>
    <r>
      <rPr>
        <vertAlign val="subscript"/>
        <sz val="10"/>
        <rFont val="Arial"/>
        <family val="2"/>
      </rPr>
      <t>y,1</t>
    </r>
    <r>
      <rPr>
        <sz val="10"/>
        <rFont val="Arial"/>
        <family val="2"/>
      </rPr>
      <t xml:space="preserve"> = negatief en M</t>
    </r>
    <r>
      <rPr>
        <vertAlign val="subscript"/>
        <sz val="10"/>
        <rFont val="Arial"/>
        <family val="2"/>
      </rPr>
      <t>y,2</t>
    </r>
    <r>
      <rPr>
        <sz val="10"/>
        <rFont val="Arial"/>
        <family val="2"/>
      </rPr>
      <t xml:space="preserve"> = positief</t>
    </r>
  </si>
  <si>
    <r>
      <t>D. M</t>
    </r>
    <r>
      <rPr>
        <vertAlign val="subscript"/>
        <sz val="10"/>
        <rFont val="Arial"/>
        <family val="2"/>
      </rPr>
      <t>y,1</t>
    </r>
    <r>
      <rPr>
        <sz val="10"/>
        <rFont val="Arial"/>
        <family val="2"/>
      </rPr>
      <t xml:space="preserve"> = negatief en M</t>
    </r>
    <r>
      <rPr>
        <vertAlign val="subscript"/>
        <sz val="10"/>
        <rFont val="Arial"/>
        <family val="2"/>
      </rPr>
      <t>y,2</t>
    </r>
    <r>
      <rPr>
        <sz val="10"/>
        <rFont val="Arial"/>
        <family val="2"/>
      </rPr>
      <t xml:space="preserve"> = negatief</t>
    </r>
  </si>
  <si>
    <t>Invoer</t>
  </si>
  <si>
    <r>
      <t>M</t>
    </r>
    <r>
      <rPr>
        <vertAlign val="subscript"/>
        <sz val="10"/>
        <rFont val="Arial"/>
        <family val="2"/>
      </rPr>
      <t>y,1</t>
    </r>
    <r>
      <rPr>
        <sz val="10"/>
        <rFont val="Arial"/>
        <family val="2"/>
      </rPr>
      <t xml:space="preserve"> = </t>
    </r>
  </si>
  <si>
    <r>
      <t>M</t>
    </r>
    <r>
      <rPr>
        <vertAlign val="subscript"/>
        <sz val="10"/>
        <rFont val="Arial"/>
        <family val="2"/>
      </rPr>
      <t>y,2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</si>
  <si>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y,Q</t>
    </r>
    <r>
      <rPr>
        <sz val="10"/>
        <rFont val="Arial"/>
        <family val="2"/>
      </rPr>
      <t xml:space="preserve"> =</t>
    </r>
  </si>
  <si>
    <t>Verder kan de vorm van de momentenlijn (dwarsbelasting) parabolisch of driehoekig zijn.</t>
  </si>
  <si>
    <t>Vorm momentenlijn:</t>
  </si>
  <si>
    <t>Uitwerking</t>
  </si>
  <si>
    <r>
      <t>R</t>
    </r>
    <r>
      <rPr>
        <vertAlign val="subscript"/>
        <sz val="10"/>
        <rFont val="Arial"/>
        <family val="2"/>
      </rPr>
      <t>A,My,1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</si>
  <si>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A,My,2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</si>
  <si>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A,My,Q</t>
    </r>
    <r>
      <rPr>
        <sz val="10"/>
        <rFont val="Arial"/>
        <family val="2"/>
      </rPr>
      <t xml:space="preserve"> =</t>
    </r>
  </si>
  <si>
    <t>/ L kN</t>
  </si>
  <si>
    <t>Situatie C</t>
  </si>
  <si>
    <r>
      <t>R</t>
    </r>
    <r>
      <rPr>
        <vertAlign val="subscript"/>
        <sz val="10"/>
        <rFont val="Arial"/>
        <family val="2"/>
      </rPr>
      <t>B,My,1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</si>
  <si>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B,My,2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</si>
  <si>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B,My,Q</t>
    </r>
    <r>
      <rPr>
        <sz val="10"/>
        <rFont val="Arial"/>
        <family val="2"/>
      </rPr>
      <t xml:space="preserve"> =</t>
    </r>
  </si>
  <si>
    <t>/ L --</t>
  </si>
  <si>
    <t>Dwarskrachtennulpunt op:</t>
  </si>
  <si>
    <t>L (vanaf links)</t>
  </si>
  <si>
    <r>
      <t>M</t>
    </r>
    <r>
      <rPr>
        <vertAlign val="subscript"/>
        <sz val="10"/>
        <rFont val="Arial"/>
        <family val="2"/>
      </rPr>
      <t>y,max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</si>
  <si>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y,veld</t>
    </r>
    <r>
      <rPr>
        <sz val="10"/>
        <rFont val="Arial"/>
        <family val="2"/>
      </rPr>
      <t xml:space="preserve"> =</t>
    </r>
  </si>
  <si>
    <t>Situatie D</t>
  </si>
  <si>
    <t>Situatie A</t>
  </si>
  <si>
    <t>Situatie B</t>
  </si>
  <si>
    <t>Maatgevend</t>
  </si>
  <si>
    <t>Bepaling kritieke staaltemperatuur bij normaalkracht en (dubbele) buiging</t>
  </si>
  <si>
    <r>
      <t>Bepaling M</t>
    </r>
    <r>
      <rPr>
        <b/>
        <vertAlign val="subscript"/>
        <sz val="14"/>
        <rFont val="Arial"/>
        <family val="2"/>
      </rPr>
      <t>z,max</t>
    </r>
  </si>
  <si>
    <r>
      <t>A. M</t>
    </r>
    <r>
      <rPr>
        <vertAlign val="subscript"/>
        <sz val="10"/>
        <rFont val="Arial"/>
        <family val="2"/>
      </rPr>
      <t>z,1</t>
    </r>
    <r>
      <rPr>
        <sz val="10"/>
        <rFont val="Arial"/>
        <family val="2"/>
      </rPr>
      <t xml:space="preserve"> = positief en M</t>
    </r>
    <r>
      <rPr>
        <vertAlign val="subscript"/>
        <sz val="10"/>
        <rFont val="Arial"/>
        <family val="2"/>
      </rPr>
      <t>z,2</t>
    </r>
    <r>
      <rPr>
        <sz val="10"/>
        <rFont val="Arial"/>
        <family val="2"/>
      </rPr>
      <t xml:space="preserve"> = positief</t>
    </r>
  </si>
  <si>
    <r>
      <t>B. M</t>
    </r>
    <r>
      <rPr>
        <vertAlign val="subscript"/>
        <sz val="10"/>
        <rFont val="Arial"/>
        <family val="2"/>
      </rPr>
      <t>z,1</t>
    </r>
    <r>
      <rPr>
        <sz val="10"/>
        <rFont val="Arial"/>
        <family val="2"/>
      </rPr>
      <t xml:space="preserve"> = positief en M</t>
    </r>
    <r>
      <rPr>
        <vertAlign val="subscript"/>
        <sz val="10"/>
        <rFont val="Arial"/>
        <family val="2"/>
      </rPr>
      <t>z,2</t>
    </r>
    <r>
      <rPr>
        <sz val="10"/>
        <rFont val="Arial"/>
        <family val="2"/>
      </rPr>
      <t xml:space="preserve"> = negatief</t>
    </r>
  </si>
  <si>
    <r>
      <t>D. M</t>
    </r>
    <r>
      <rPr>
        <vertAlign val="subscript"/>
        <sz val="10"/>
        <rFont val="Arial"/>
        <family val="2"/>
      </rPr>
      <t>z,1</t>
    </r>
    <r>
      <rPr>
        <sz val="10"/>
        <rFont val="Arial"/>
        <family val="2"/>
      </rPr>
      <t xml:space="preserve"> = negatief en M</t>
    </r>
    <r>
      <rPr>
        <vertAlign val="subscript"/>
        <sz val="10"/>
        <rFont val="Arial"/>
        <family val="2"/>
      </rPr>
      <t>z,2</t>
    </r>
    <r>
      <rPr>
        <sz val="10"/>
        <rFont val="Arial"/>
        <family val="2"/>
      </rPr>
      <t xml:space="preserve"> = negatief</t>
    </r>
  </si>
  <si>
    <r>
      <t>C. M</t>
    </r>
    <r>
      <rPr>
        <vertAlign val="subscript"/>
        <sz val="10"/>
        <rFont val="Arial"/>
        <family val="2"/>
      </rPr>
      <t>z,1</t>
    </r>
    <r>
      <rPr>
        <sz val="10"/>
        <rFont val="Arial"/>
        <family val="2"/>
      </rPr>
      <t xml:space="preserve"> = negatief en M</t>
    </r>
    <r>
      <rPr>
        <vertAlign val="subscript"/>
        <sz val="10"/>
        <rFont val="Arial"/>
        <family val="2"/>
      </rPr>
      <t>z,2</t>
    </r>
    <r>
      <rPr>
        <sz val="10"/>
        <rFont val="Arial"/>
        <family val="2"/>
      </rPr>
      <t xml:space="preserve"> = positief</t>
    </r>
  </si>
  <si>
    <r>
      <t>M</t>
    </r>
    <r>
      <rPr>
        <vertAlign val="subscript"/>
        <sz val="10"/>
        <rFont val="Arial"/>
        <family val="2"/>
      </rPr>
      <t>z,1</t>
    </r>
    <r>
      <rPr>
        <sz val="10"/>
        <rFont val="Arial"/>
        <family val="2"/>
      </rPr>
      <t xml:space="preserve"> = </t>
    </r>
  </si>
  <si>
    <r>
      <t>M</t>
    </r>
    <r>
      <rPr>
        <vertAlign val="subscript"/>
        <sz val="10"/>
        <rFont val="Arial"/>
        <family val="2"/>
      </rPr>
      <t>z,2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</si>
  <si>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z,Q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</si>
  <si>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A,Mz,1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</si>
  <si>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A,Mz,2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</si>
  <si>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A,Mz,Q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</si>
  <si>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B,Mz,1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</si>
  <si>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B,Mz,2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</si>
  <si>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B,Mz,Q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</si>
  <si>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z,veld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</si>
  <si>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z,max</t>
    </r>
    <r>
      <rPr>
        <sz val="10"/>
        <rFont val="Arial"/>
        <family val="2"/>
      </rPr>
      <t xml:space="preserve"> =</t>
    </r>
  </si>
  <si>
    <t>Profielgegevens</t>
  </si>
  <si>
    <t>Profiel:</t>
  </si>
  <si>
    <t>Staalsoort:</t>
  </si>
  <si>
    <r>
      <t>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= </t>
    </r>
  </si>
  <si>
    <r>
      <t>N/mm</t>
    </r>
    <r>
      <rPr>
        <vertAlign val="superscript"/>
        <sz val="10"/>
        <rFont val="Arial"/>
        <family val="2"/>
      </rPr>
      <t>2</t>
    </r>
  </si>
  <si>
    <t>b =</t>
  </si>
  <si>
    <t>h =</t>
  </si>
  <si>
    <t xml:space="preserve">r = </t>
  </si>
  <si>
    <t>A =</t>
  </si>
  <si>
    <r>
      <t>W</t>
    </r>
    <r>
      <rPr>
        <vertAlign val="subscript"/>
        <sz val="10"/>
        <rFont val="Arial"/>
        <family val="2"/>
      </rPr>
      <t>y,el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</si>
  <si>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y,pl</t>
    </r>
    <r>
      <rPr>
        <sz val="10"/>
        <rFont val="Arial"/>
        <family val="2"/>
      </rPr>
      <t xml:space="preserve"> =</t>
    </r>
  </si>
  <si>
    <r>
      <t>t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 xml:space="preserve"> =</t>
    </r>
  </si>
  <si>
    <r>
      <t>t</t>
    </r>
    <r>
      <rPr>
        <vertAlign val="subscript"/>
        <sz val="10"/>
        <rFont val="Arial"/>
        <family val="2"/>
      </rPr>
      <t>w</t>
    </r>
    <r>
      <rPr>
        <sz val="10"/>
        <rFont val="Arial"/>
        <family val="2"/>
      </rPr>
      <t xml:space="preserve"> =</t>
    </r>
  </si>
  <si>
    <t>Krachtsverdeling</t>
  </si>
  <si>
    <r>
      <t>M</t>
    </r>
    <r>
      <rPr>
        <vertAlign val="subscript"/>
        <sz val="10"/>
        <rFont val="Arial"/>
        <family val="2"/>
      </rPr>
      <t>y;Ed</t>
    </r>
    <r>
      <rPr>
        <sz val="10"/>
        <rFont val="Arial"/>
        <family val="2"/>
      </rPr>
      <t xml:space="preserve"> = </t>
    </r>
  </si>
  <si>
    <r>
      <t>M</t>
    </r>
    <r>
      <rPr>
        <vertAlign val="subscript"/>
        <sz val="10"/>
        <rFont val="Arial"/>
        <family val="2"/>
      </rPr>
      <t>z;Ed</t>
    </r>
    <r>
      <rPr>
        <sz val="10"/>
        <rFont val="Arial"/>
        <family val="2"/>
      </rPr>
      <t xml:space="preserve"> = </t>
    </r>
  </si>
  <si>
    <r>
      <t>Bepaling f</t>
    </r>
    <r>
      <rPr>
        <b/>
        <vertAlign val="subscript"/>
        <sz val="10"/>
        <rFont val="Arial"/>
        <family val="2"/>
      </rPr>
      <t>y,fictief</t>
    </r>
  </si>
  <si>
    <r>
      <t>f</t>
    </r>
    <r>
      <rPr>
        <vertAlign val="subscript"/>
        <sz val="10"/>
        <rFont val="Arial"/>
        <family val="2"/>
      </rPr>
      <t>y;fictief</t>
    </r>
    <r>
      <rPr>
        <sz val="10"/>
        <rFont val="Arial"/>
        <family val="2"/>
      </rPr>
      <t xml:space="preserve"> =</t>
    </r>
  </si>
  <si>
    <t>Doorsnedeclassificatie</t>
  </si>
  <si>
    <t>Toetswaarde: c/t =</t>
  </si>
  <si>
    <t>Criterium klasse 1:</t>
  </si>
  <si>
    <t>Doorsnedeklasse:</t>
  </si>
  <si>
    <t>Criterium klasse 2:</t>
  </si>
  <si>
    <t>Criterium klasse 3:</t>
  </si>
  <si>
    <t>Buiging y-as en normaaldrukkracht</t>
  </si>
  <si>
    <t>Buiging z-as</t>
  </si>
  <si>
    <r>
      <t>Bepaling f</t>
    </r>
    <r>
      <rPr>
        <b/>
        <vertAlign val="subscript"/>
        <sz val="10"/>
        <rFont val="Arial"/>
        <family val="2"/>
      </rPr>
      <t xml:space="preserve">y,fictief </t>
    </r>
    <r>
      <rPr>
        <b/>
        <sz val="10"/>
        <rFont val="Arial"/>
        <family val="2"/>
      </rPr>
      <t>bij doorsnedeklasse 1 en 2</t>
    </r>
  </si>
  <si>
    <t>Doorsnedeklasse bij volledig druk in lijf:</t>
  </si>
  <si>
    <r>
      <t>c/t &lt;= 9</t>
    </r>
    <r>
      <rPr>
        <sz val="10"/>
        <rFont val="Symbol"/>
        <family val="1"/>
      </rPr>
      <t>e</t>
    </r>
    <r>
      <rPr>
        <sz val="10"/>
        <rFont val="Arial"/>
        <family val="2"/>
      </rPr>
      <t xml:space="preserve"> * 0,85 = </t>
    </r>
  </si>
  <si>
    <r>
      <t>c/t &lt;= 10</t>
    </r>
    <r>
      <rPr>
        <sz val="10"/>
        <rFont val="Symbol"/>
        <family val="1"/>
      </rPr>
      <t>e</t>
    </r>
    <r>
      <rPr>
        <sz val="10"/>
        <rFont val="Arial"/>
        <family val="2"/>
      </rPr>
      <t xml:space="preserve"> * 0,85 = </t>
    </r>
  </si>
  <si>
    <r>
      <t>c/t &lt;= 14</t>
    </r>
    <r>
      <rPr>
        <sz val="10"/>
        <rFont val="Symbol"/>
        <family val="1"/>
      </rPr>
      <t>e</t>
    </r>
    <r>
      <rPr>
        <sz val="10"/>
        <rFont val="Arial"/>
        <family val="2"/>
      </rPr>
      <t xml:space="preserve"> * 0,85 = </t>
    </r>
  </si>
  <si>
    <r>
      <t>M</t>
    </r>
    <r>
      <rPr>
        <vertAlign val="subscript"/>
        <sz val="10"/>
        <rFont val="Arial"/>
        <family val="2"/>
      </rPr>
      <t>z;Rd</t>
    </r>
    <r>
      <rPr>
        <sz val="10"/>
        <rFont val="Arial"/>
        <family val="2"/>
      </rPr>
      <t xml:space="preserve"> = 0,25 * 2 * t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 xml:space="preserve"> * b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* f</t>
    </r>
    <r>
      <rPr>
        <vertAlign val="subscript"/>
        <sz val="10"/>
        <rFont val="Arial"/>
        <family val="2"/>
      </rPr>
      <t>y;fictief</t>
    </r>
    <r>
      <rPr>
        <sz val="10"/>
        <rFont val="Arial"/>
        <family val="2"/>
      </rPr>
      <t xml:space="preserve"> (alleen beschouwing flenzen)</t>
    </r>
  </si>
  <si>
    <t xml:space="preserve">iteratie </t>
  </si>
  <si>
    <r>
      <t>f</t>
    </r>
    <r>
      <rPr>
        <vertAlign val="subscript"/>
        <sz val="10"/>
        <rFont val="Arial"/>
        <family val="2"/>
      </rPr>
      <t>y,min</t>
    </r>
  </si>
  <si>
    <r>
      <t>f</t>
    </r>
    <r>
      <rPr>
        <vertAlign val="subscript"/>
        <sz val="10"/>
        <rFont val="Arial"/>
        <family val="2"/>
      </rPr>
      <t>y,max</t>
    </r>
  </si>
  <si>
    <r>
      <t>f</t>
    </r>
    <r>
      <rPr>
        <vertAlign val="subscript"/>
        <sz val="10"/>
        <rFont val="Arial"/>
        <family val="2"/>
      </rPr>
      <t>y,gem</t>
    </r>
  </si>
  <si>
    <t>Controle capaciteit profiel</t>
  </si>
  <si>
    <r>
      <t>M</t>
    </r>
    <r>
      <rPr>
        <vertAlign val="subscript"/>
        <sz val="10"/>
        <rFont val="Arial"/>
        <family val="2"/>
      </rPr>
      <t>y;Rd1</t>
    </r>
    <r>
      <rPr>
        <sz val="10"/>
        <rFont val="Arial"/>
        <family val="2"/>
      </rPr>
      <t xml:space="preserve"> = </t>
    </r>
  </si>
  <si>
    <r>
      <t>M</t>
    </r>
    <r>
      <rPr>
        <vertAlign val="subscript"/>
        <sz val="10"/>
        <rFont val="Arial"/>
        <family val="2"/>
      </rPr>
      <t>y;Rd2</t>
    </r>
    <r>
      <rPr>
        <sz val="10"/>
        <rFont val="Arial"/>
        <family val="2"/>
      </rPr>
      <t xml:space="preserve"> = </t>
    </r>
  </si>
  <si>
    <r>
      <t>M</t>
    </r>
    <r>
      <rPr>
        <vertAlign val="subscript"/>
        <sz val="10"/>
        <rFont val="Arial"/>
        <family val="2"/>
      </rPr>
      <t>y;Rd3</t>
    </r>
    <r>
      <rPr>
        <sz val="10"/>
        <rFont val="Arial"/>
        <family val="2"/>
      </rPr>
      <t xml:space="preserve"> = </t>
    </r>
  </si>
  <si>
    <t>overgang in flens-afronding</t>
  </si>
  <si>
    <t>overgang in afronding-lijf</t>
  </si>
  <si>
    <t>gehele profiel</t>
  </si>
  <si>
    <t>kNm   =&gt;</t>
  </si>
  <si>
    <r>
      <t>N</t>
    </r>
    <r>
      <rPr>
        <vertAlign val="subscript"/>
        <sz val="10"/>
        <rFont val="Arial"/>
        <family val="2"/>
      </rPr>
      <t>Ed</t>
    </r>
    <r>
      <rPr>
        <sz val="10"/>
        <rFont val="Arial"/>
        <family val="2"/>
      </rPr>
      <t xml:space="preserve"> = </t>
    </r>
  </si>
  <si>
    <r>
      <t>Beschikbare oppervlakte voor N</t>
    </r>
    <r>
      <rPr>
        <vertAlign val="subscript"/>
        <sz val="10"/>
        <rFont val="Arial"/>
        <family val="2"/>
      </rPr>
      <t>Ed</t>
    </r>
    <r>
      <rPr>
        <sz val="10"/>
        <rFont val="Arial"/>
        <family val="2"/>
      </rPr>
      <t xml:space="preserve"> =</t>
    </r>
  </si>
  <si>
    <t>t</t>
  </si>
  <si>
    <t>kN   =&gt;</t>
  </si>
  <si>
    <r>
      <t>N</t>
    </r>
    <r>
      <rPr>
        <vertAlign val="subscript"/>
        <sz val="10"/>
        <rFont val="Arial"/>
        <family val="2"/>
      </rPr>
      <t>Rd</t>
    </r>
    <r>
      <rPr>
        <sz val="10"/>
        <rFont val="Arial"/>
        <family val="2"/>
      </rPr>
      <t xml:space="preserve"> = </t>
    </r>
  </si>
  <si>
    <t>d</t>
  </si>
  <si>
    <r>
      <t>Bepaling f</t>
    </r>
    <r>
      <rPr>
        <vertAlign val="subscript"/>
        <sz val="10"/>
        <rFont val="Arial"/>
        <family val="2"/>
      </rPr>
      <t>y,fictief</t>
    </r>
    <r>
      <rPr>
        <sz val="10"/>
        <rFont val="Arial"/>
        <family val="2"/>
      </rPr>
      <t xml:space="preserve"> door middel van iteratie:</t>
    </r>
  </si>
  <si>
    <r>
      <t>N</t>
    </r>
    <r>
      <rPr>
        <vertAlign val="subscript"/>
        <sz val="10"/>
        <rFont val="Arial"/>
        <family val="2"/>
      </rPr>
      <t>Rd</t>
    </r>
    <r>
      <rPr>
        <sz val="10"/>
        <rFont val="Arial"/>
        <family val="2"/>
      </rPr>
      <t/>
    </r>
  </si>
  <si>
    <r>
      <t>M</t>
    </r>
    <r>
      <rPr>
        <vertAlign val="subscript"/>
        <sz val="10"/>
        <color indexed="39"/>
        <rFont val="Arial"/>
        <family val="2"/>
      </rPr>
      <t>y;Rd1</t>
    </r>
    <r>
      <rPr>
        <sz val="10"/>
        <color indexed="39"/>
        <rFont val="Arial"/>
        <family val="2"/>
      </rPr>
      <t xml:space="preserve"> = </t>
    </r>
  </si>
  <si>
    <r>
      <t>M</t>
    </r>
    <r>
      <rPr>
        <vertAlign val="subscript"/>
        <sz val="10"/>
        <color indexed="39"/>
        <rFont val="Arial"/>
        <family val="2"/>
      </rPr>
      <t>y;Rd2</t>
    </r>
    <r>
      <rPr>
        <sz val="10"/>
        <color indexed="39"/>
        <rFont val="Arial"/>
        <family val="2"/>
      </rPr>
      <t xml:space="preserve"> = </t>
    </r>
  </si>
  <si>
    <r>
      <t>M</t>
    </r>
    <r>
      <rPr>
        <vertAlign val="subscript"/>
        <sz val="10"/>
        <color indexed="39"/>
        <rFont val="Arial"/>
        <family val="2"/>
      </rPr>
      <t>y;Rd3</t>
    </r>
    <r>
      <rPr>
        <sz val="10"/>
        <color indexed="39"/>
        <rFont val="Arial"/>
        <family val="2"/>
      </rPr>
      <t xml:space="preserve"> = </t>
    </r>
  </si>
  <si>
    <r>
      <t>c/t &lt;= 396</t>
    </r>
    <r>
      <rPr>
        <sz val="10"/>
        <rFont val="Symbol"/>
        <family val="1"/>
      </rPr>
      <t>e</t>
    </r>
    <r>
      <rPr>
        <sz val="10"/>
        <rFont val="Arial"/>
        <family val="2"/>
      </rPr>
      <t xml:space="preserve"> * 0,85 / (13</t>
    </r>
    <r>
      <rPr>
        <sz val="10"/>
        <rFont val="Symbol"/>
        <family val="1"/>
      </rPr>
      <t>a</t>
    </r>
    <r>
      <rPr>
        <sz val="10"/>
        <rFont val="Arial"/>
        <family val="2"/>
      </rPr>
      <t xml:space="preserve"> -1) = </t>
    </r>
  </si>
  <si>
    <r>
      <t>c/t &lt;= 456</t>
    </r>
    <r>
      <rPr>
        <sz val="10"/>
        <rFont val="Symbol"/>
        <family val="1"/>
      </rPr>
      <t>e</t>
    </r>
    <r>
      <rPr>
        <sz val="10"/>
        <rFont val="Arial"/>
        <family val="2"/>
      </rPr>
      <t xml:space="preserve"> * 0,85 / (13</t>
    </r>
    <r>
      <rPr>
        <sz val="10"/>
        <rFont val="Symbol"/>
        <family val="1"/>
      </rPr>
      <t>a</t>
    </r>
    <r>
      <rPr>
        <sz val="10"/>
        <rFont val="Arial"/>
        <family val="2"/>
      </rPr>
      <t xml:space="preserve"> -1) = </t>
    </r>
  </si>
  <si>
    <r>
      <t>Bepaling f</t>
    </r>
    <r>
      <rPr>
        <b/>
        <vertAlign val="subscript"/>
        <sz val="10"/>
        <rFont val="Arial"/>
        <family val="2"/>
      </rPr>
      <t xml:space="preserve">y,fictief </t>
    </r>
    <r>
      <rPr>
        <b/>
        <sz val="10"/>
        <rFont val="Arial"/>
        <family val="2"/>
      </rPr>
      <t>bij doorsnedeklasse 3</t>
    </r>
  </si>
  <si>
    <r>
      <t>f</t>
    </r>
    <r>
      <rPr>
        <vertAlign val="subscript"/>
        <sz val="10"/>
        <rFont val="Arial"/>
        <family val="2"/>
      </rPr>
      <t>y,fictief</t>
    </r>
    <r>
      <rPr>
        <sz val="10"/>
        <rFont val="Arial"/>
        <family val="2"/>
      </rPr>
      <t xml:space="preserve"> = M</t>
    </r>
    <r>
      <rPr>
        <vertAlign val="subscript"/>
        <sz val="10"/>
        <rFont val="Arial"/>
        <family val="2"/>
      </rPr>
      <t>y;Ed</t>
    </r>
    <r>
      <rPr>
        <sz val="10"/>
        <rFont val="Arial"/>
        <family val="2"/>
      </rPr>
      <t xml:space="preserve"> / W</t>
    </r>
    <r>
      <rPr>
        <vertAlign val="subscript"/>
        <sz val="10"/>
        <rFont val="Arial"/>
        <family val="2"/>
      </rPr>
      <t>y,el</t>
    </r>
    <r>
      <rPr>
        <sz val="10"/>
        <rFont val="Arial"/>
        <family val="2"/>
      </rPr>
      <t xml:space="preserve"> + N</t>
    </r>
    <r>
      <rPr>
        <vertAlign val="subscript"/>
        <sz val="10"/>
        <rFont val="Arial"/>
        <family val="2"/>
      </rPr>
      <t>Ed</t>
    </r>
    <r>
      <rPr>
        <sz val="10"/>
        <rFont val="Arial"/>
        <family val="2"/>
      </rPr>
      <t xml:space="preserve"> / A</t>
    </r>
  </si>
  <si>
    <r>
      <t>f</t>
    </r>
    <r>
      <rPr>
        <vertAlign val="subscript"/>
        <sz val="10"/>
        <rFont val="Arial"/>
        <family val="2"/>
      </rPr>
      <t>y,fictief</t>
    </r>
    <r>
      <rPr>
        <sz val="10"/>
        <rFont val="Arial"/>
        <family val="2"/>
      </rPr>
      <t xml:space="preserve"> = </t>
    </r>
  </si>
  <si>
    <r>
      <rPr>
        <sz val="10"/>
        <rFont val="Symbol"/>
        <family val="1"/>
      </rPr>
      <t xml:space="preserve">y </t>
    </r>
    <r>
      <rPr>
        <sz val="10"/>
        <rFont val="Arial"/>
        <family val="2"/>
      </rPr>
      <t>f</t>
    </r>
    <r>
      <rPr>
        <vertAlign val="subscript"/>
        <sz val="10"/>
        <rFont val="Arial"/>
        <family val="2"/>
      </rPr>
      <t>y,fictief</t>
    </r>
    <r>
      <rPr>
        <sz val="10"/>
        <rFont val="Arial"/>
        <family val="2"/>
      </rPr>
      <t xml:space="preserve"> = </t>
    </r>
  </si>
  <si>
    <r>
      <rPr>
        <sz val="10"/>
        <rFont val="Symbol"/>
        <family val="1"/>
      </rPr>
      <t>y</t>
    </r>
    <r>
      <rPr>
        <sz val="10"/>
        <rFont val="Arial"/>
        <family val="2"/>
      </rPr>
      <t xml:space="preserve"> = </t>
    </r>
  </si>
  <si>
    <r>
      <t>c/t &lt;= 42</t>
    </r>
    <r>
      <rPr>
        <sz val="10"/>
        <rFont val="Symbol"/>
        <family val="1"/>
      </rPr>
      <t>e</t>
    </r>
    <r>
      <rPr>
        <sz val="10"/>
        <rFont val="Arial"/>
        <family val="2"/>
      </rPr>
      <t xml:space="preserve"> * 0,85 / (0,67+0,33</t>
    </r>
    <r>
      <rPr>
        <sz val="10"/>
        <rFont val="Symbol"/>
        <family val="1"/>
      </rPr>
      <t>y</t>
    </r>
    <r>
      <rPr>
        <sz val="10"/>
        <rFont val="Arial"/>
        <family val="2"/>
      </rPr>
      <t xml:space="preserve">) = </t>
    </r>
  </si>
  <si>
    <t>Definitieve doorsnedeklasse:</t>
  </si>
  <si>
    <t>d =</t>
  </si>
  <si>
    <r>
      <t>t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</si>
  <si>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pl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</si>
  <si>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0"/>
        <rFont val="Arial"/>
        <family val="2"/>
      </rPr>
      <t>y,fictief</t>
    </r>
    <r>
      <rPr>
        <sz val="10"/>
        <rFont val="Arial"/>
        <family val="2"/>
      </rPr>
      <t xml:space="preserve"> = M</t>
    </r>
    <r>
      <rPr>
        <vertAlign val="subscript"/>
        <sz val="10"/>
        <rFont val="Arial"/>
        <family val="2"/>
      </rPr>
      <t>Ed</t>
    </r>
    <r>
      <rPr>
        <sz val="10"/>
        <rFont val="Arial"/>
        <family val="2"/>
      </rPr>
      <t xml:space="preserve"> / W</t>
    </r>
    <r>
      <rPr>
        <vertAlign val="subscript"/>
        <sz val="10"/>
        <rFont val="Arial"/>
        <family val="2"/>
      </rPr>
      <t>pl</t>
    </r>
    <r>
      <rPr>
        <sz val="10"/>
        <rFont val="Arial"/>
        <family val="2"/>
      </rPr>
      <t xml:space="preserve"> + N</t>
    </r>
    <r>
      <rPr>
        <vertAlign val="subscript"/>
        <sz val="10"/>
        <rFont val="Arial"/>
        <family val="2"/>
      </rPr>
      <t>Ed</t>
    </r>
    <r>
      <rPr>
        <sz val="10"/>
        <rFont val="Arial"/>
        <family val="2"/>
      </rPr>
      <t xml:space="preserve"> / A</t>
    </r>
  </si>
  <si>
    <t>Toetswaarde: d/t =</t>
  </si>
  <si>
    <r>
      <t>d/t &lt;= 50 * (</t>
    </r>
    <r>
      <rPr>
        <sz val="10"/>
        <rFont val="Symbol"/>
        <family val="1"/>
      </rPr>
      <t>e</t>
    </r>
    <r>
      <rPr>
        <sz val="10"/>
        <rFont val="Arial"/>
        <family val="2"/>
      </rPr>
      <t xml:space="preserve"> * 0,85)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</si>
  <si>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r>
      <t>d/t &lt;= 70 * (</t>
    </r>
    <r>
      <rPr>
        <sz val="10"/>
        <rFont val="Symbol"/>
        <family val="1"/>
      </rPr>
      <t>e</t>
    </r>
    <r>
      <rPr>
        <sz val="10"/>
        <rFont val="Arial"/>
        <family val="2"/>
      </rPr>
      <t xml:space="preserve"> * 0,85)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</si>
  <si>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r>
      <t>d/t &lt;= 90 * (</t>
    </r>
    <r>
      <rPr>
        <sz val="10"/>
        <rFont val="Symbol"/>
        <family val="1"/>
      </rPr>
      <t>e</t>
    </r>
    <r>
      <rPr>
        <sz val="10"/>
        <rFont val="Arial"/>
        <family val="2"/>
      </rPr>
      <t xml:space="preserve"> * 0,85)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</si>
  <si>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t>Bepaling doorsnedeklasse ronde buis</t>
  </si>
  <si>
    <t>Bepaling doorsnedeklasse walsprofiel</t>
  </si>
  <si>
    <t>Bepaling doorsnedeklasse vierkante buis</t>
  </si>
  <si>
    <t>b = h =</t>
  </si>
  <si>
    <t>t* =</t>
  </si>
  <si>
    <t>Buiging en normaaldrukkracht</t>
  </si>
  <si>
    <r>
      <t>W</t>
    </r>
    <r>
      <rPr>
        <vertAlign val="subscript"/>
        <sz val="10"/>
        <rFont val="Arial"/>
        <family val="2"/>
      </rPr>
      <t>el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</si>
  <si>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i</t>
    </r>
    <r>
      <rPr>
        <sz val="10"/>
        <rFont val="Arial"/>
        <family val="2"/>
      </rPr>
      <t xml:space="preserve"> =</t>
    </r>
  </si>
  <si>
    <r>
      <t>r</t>
    </r>
    <r>
      <rPr>
        <vertAlign val="subscript"/>
        <sz val="10"/>
        <rFont val="Arial"/>
        <family val="2"/>
      </rPr>
      <t>o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</si>
  <si>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Rd1</t>
    </r>
    <r>
      <rPr>
        <sz val="10"/>
        <rFont val="Arial"/>
        <family val="2"/>
      </rPr>
      <t xml:space="preserve"> = </t>
    </r>
  </si>
  <si>
    <r>
      <t>M</t>
    </r>
    <r>
      <rPr>
        <vertAlign val="subscript"/>
        <sz val="10"/>
        <rFont val="Arial"/>
        <family val="2"/>
      </rPr>
      <t>Rd2</t>
    </r>
    <r>
      <rPr>
        <sz val="10"/>
        <rFont val="Arial"/>
        <family val="2"/>
      </rPr>
      <t xml:space="preserve"> = </t>
    </r>
  </si>
  <si>
    <r>
      <t>M</t>
    </r>
    <r>
      <rPr>
        <vertAlign val="subscript"/>
        <sz val="10"/>
        <color indexed="39"/>
        <rFont val="Arial"/>
        <family val="2"/>
      </rPr>
      <t>Rd1</t>
    </r>
    <r>
      <rPr>
        <sz val="10"/>
        <color indexed="39"/>
        <rFont val="Arial"/>
        <family val="2"/>
      </rPr>
      <t xml:space="preserve"> = </t>
    </r>
  </si>
  <si>
    <r>
      <t>M</t>
    </r>
    <r>
      <rPr>
        <vertAlign val="subscript"/>
        <sz val="10"/>
        <color indexed="39"/>
        <rFont val="Arial"/>
        <family val="2"/>
      </rPr>
      <t>Rd2</t>
    </r>
    <r>
      <rPr>
        <sz val="10"/>
        <color indexed="39"/>
        <rFont val="Arial"/>
        <family val="2"/>
      </rPr>
      <t xml:space="preserve"> = </t>
    </r>
  </si>
  <si>
    <r>
      <t>f</t>
    </r>
    <r>
      <rPr>
        <vertAlign val="subscript"/>
        <sz val="10"/>
        <rFont val="Arial"/>
        <family val="2"/>
      </rPr>
      <t>y,fictief</t>
    </r>
    <r>
      <rPr>
        <sz val="10"/>
        <rFont val="Arial"/>
        <family val="2"/>
      </rPr>
      <t xml:space="preserve"> = M</t>
    </r>
    <r>
      <rPr>
        <vertAlign val="subscript"/>
        <sz val="10"/>
        <rFont val="Arial"/>
        <family val="2"/>
      </rPr>
      <t>Ed</t>
    </r>
    <r>
      <rPr>
        <sz val="10"/>
        <rFont val="Arial"/>
        <family val="2"/>
      </rPr>
      <t xml:space="preserve"> / W</t>
    </r>
    <r>
      <rPr>
        <vertAlign val="subscript"/>
        <sz val="10"/>
        <rFont val="Arial"/>
        <family val="2"/>
      </rPr>
      <t>el</t>
    </r>
    <r>
      <rPr>
        <sz val="10"/>
        <rFont val="Arial"/>
        <family val="2"/>
      </rPr>
      <t xml:space="preserve"> + N</t>
    </r>
    <r>
      <rPr>
        <vertAlign val="subscript"/>
        <sz val="10"/>
        <rFont val="Arial"/>
        <family val="2"/>
      </rPr>
      <t>Ed</t>
    </r>
    <r>
      <rPr>
        <sz val="10"/>
        <rFont val="Arial"/>
        <family val="2"/>
      </rPr>
      <t xml:space="preserve"> / A</t>
    </r>
  </si>
  <si>
    <t>x =</t>
  </si>
  <si>
    <t>L</t>
  </si>
  <si>
    <t>dwarsbelasting, het veldmoment is altijd positief)</t>
  </si>
  <si>
    <t>(negatief indien het eindmoment tegengesteld is aan het veldmoment door</t>
  </si>
  <si>
    <r>
      <t>rekenwaarde veldmoment door dwarsbelasting (positieve waarde), M</t>
    </r>
    <r>
      <rPr>
        <vertAlign val="subscript"/>
        <sz val="10"/>
        <rFont val="Arial"/>
        <family val="2"/>
      </rPr>
      <t>y,Q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</si>
  <si>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y,veld,max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</si>
  <si>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z,veld,max</t>
    </r>
    <r>
      <rPr>
        <sz val="10"/>
        <rFont val="Arial"/>
        <family val="2"/>
      </rPr>
      <t xml:space="preserve"> =</t>
    </r>
  </si>
  <si>
    <r>
      <t>rekenwaarde veldmoment door dwarsbelasting (positieve waarde), M</t>
    </r>
    <r>
      <rPr>
        <vertAlign val="subscript"/>
        <sz val="10"/>
        <rFont val="Arial"/>
        <family val="2"/>
      </rPr>
      <t>z,Q</t>
    </r>
    <r>
      <rPr>
        <sz val="10"/>
        <rFont val="Arial"/>
        <family val="2"/>
      </rPr>
      <t xml:space="preserve"> =</t>
    </r>
  </si>
  <si>
    <t>dwarsbelasting, het veldmoment door dwarsbelasting is altijd positief)</t>
  </si>
  <si>
    <t>Invoervelden zijn in blauw weergegeven.</t>
  </si>
  <si>
    <t>Bij de bepaling van de doorsnedeklasse is er rekening gehouden met de werkelijke optredende normaalkracht en de werkelijk optredende momenten.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</si>
</sst>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0"/>
  </numFmts>
  <fonts count="35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Symbol"/>
      <family val="1"/>
    </font>
    <font>
      <b/>
      <sz val="12"/>
      <name val="Arial"/>
      <family val="2"/>
    </font>
    <font>
      <vertAlign val="superscript"/>
      <sz val="10"/>
      <name val="Arial"/>
      <family val="2"/>
    </font>
    <font>
      <vertAlign val="subscript"/>
      <sz val="10"/>
      <name val="Arial"/>
      <family val="2"/>
    </font>
    <font>
      <b/>
      <vertAlign val="subscript"/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Symbol"/>
      <family val="1"/>
    </font>
    <font>
      <b/>
      <vertAlign val="superscript"/>
      <sz val="1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vertAlign val="subscript"/>
      <sz val="10"/>
      <name val="Symbol"/>
      <family val="1"/>
    </font>
    <font>
      <sz val="10"/>
      <name val="MT Extra"/>
      <family val="1"/>
    </font>
    <font>
      <sz val="10"/>
      <name val="Arial"/>
      <family val="2"/>
    </font>
    <font>
      <b/>
      <vertAlign val="subscript"/>
      <sz val="12"/>
      <name val="Arial"/>
      <family val="2"/>
    </font>
    <font>
      <sz val="8"/>
      <name val="Arial"/>
      <family val="2"/>
    </font>
    <font>
      <vertAlign val="subscript"/>
      <sz val="8"/>
      <name val="Arial"/>
      <family val="2"/>
    </font>
    <font>
      <sz val="10"/>
      <color indexed="10"/>
      <name val="Arial"/>
      <family val="2"/>
    </font>
    <font>
      <b/>
      <vertAlign val="subscript"/>
      <sz val="14"/>
      <name val="Arial"/>
      <family val="2"/>
    </font>
    <font>
      <sz val="10"/>
      <color indexed="39"/>
      <name val="Arial"/>
      <family val="2"/>
    </font>
    <font>
      <vertAlign val="subscript"/>
      <sz val="10"/>
      <color indexed="39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9"/>
      <color rgb="FF000000"/>
      <name val="Geneva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</borders>
  <cellStyleXfs count="6">
    <xf numFmtId="0" fontId="0" fillId="0" borderId="0"/>
    <xf numFmtId="40" fontId="8" fillId="0" borderId="0" applyFont="0" applyFill="0" applyBorder="0" applyAlignment="0" applyProtection="0"/>
    <xf numFmtId="0" fontId="8" fillId="0" borderId="0"/>
    <xf numFmtId="0" fontId="1" fillId="0" borderId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439">
    <xf numFmtId="0" fontId="0" fillId="0" borderId="0" xfId="0"/>
    <xf numFmtId="0" fontId="9" fillId="0" borderId="0" xfId="0" applyFont="1"/>
    <xf numFmtId="165" fontId="10" fillId="0" borderId="0" xfId="0" applyNumberFormat="1" applyFont="1" applyAlignment="1">
      <alignment horizontal="right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1" fontId="2" fillId="0" borderId="0" xfId="0" applyNumberFormat="1" applyFont="1" applyAlignment="1">
      <alignment horizontal="right"/>
    </xf>
    <xf numFmtId="11" fontId="2" fillId="0" borderId="2" xfId="3" applyNumberFormat="1" applyFont="1" applyBorder="1" applyAlignment="1">
      <alignment horizontal="right"/>
    </xf>
    <xf numFmtId="0" fontId="2" fillId="0" borderId="3" xfId="3" applyFont="1" applyBorder="1" applyAlignment="1">
      <alignment horizontal="right"/>
    </xf>
    <xf numFmtId="11" fontId="2" fillId="0" borderId="4" xfId="3" applyNumberFormat="1" applyFont="1" applyBorder="1" applyAlignment="1">
      <alignment horizontal="right"/>
    </xf>
    <xf numFmtId="11" fontId="2" fillId="0" borderId="3" xfId="3" applyNumberFormat="1" applyFont="1" applyBorder="1" applyAlignment="1">
      <alignment horizontal="right"/>
    </xf>
    <xf numFmtId="11" fontId="2" fillId="0" borderId="5" xfId="3" applyNumberFormat="1" applyFont="1" applyBorder="1" applyAlignment="1">
      <alignment horizontal="right"/>
    </xf>
    <xf numFmtId="11" fontId="2" fillId="0" borderId="6" xfId="3" applyNumberFormat="1" applyFont="1" applyBorder="1" applyAlignment="1">
      <alignment horizontal="right"/>
    </xf>
    <xf numFmtId="11" fontId="2" fillId="0" borderId="7" xfId="3" applyNumberFormat="1" applyFont="1" applyBorder="1" applyAlignment="1">
      <alignment horizontal="right"/>
    </xf>
    <xf numFmtId="0" fontId="12" fillId="0" borderId="8" xfId="3" applyFont="1" applyBorder="1"/>
    <xf numFmtId="11" fontId="12" fillId="0" borderId="9" xfId="3" applyNumberFormat="1" applyFont="1" applyBorder="1" applyAlignment="1">
      <alignment horizontal="right"/>
    </xf>
    <xf numFmtId="0" fontId="12" fillId="0" borderId="10" xfId="3" applyFont="1" applyBorder="1" applyAlignment="1">
      <alignment horizontal="right"/>
    </xf>
    <xf numFmtId="11" fontId="12" fillId="0" borderId="11" xfId="3" applyNumberFormat="1" applyFont="1" applyBorder="1" applyAlignment="1">
      <alignment horizontal="right"/>
    </xf>
    <xf numFmtId="11" fontId="12" fillId="0" borderId="10" xfId="3" applyNumberFormat="1" applyFont="1" applyBorder="1" applyAlignment="1">
      <alignment horizontal="right"/>
    </xf>
    <xf numFmtId="11" fontId="12" fillId="0" borderId="12" xfId="3" applyNumberFormat="1" applyFont="1" applyBorder="1" applyAlignment="1">
      <alignment horizontal="right"/>
    </xf>
    <xf numFmtId="11" fontId="12" fillId="0" borderId="13" xfId="3" applyNumberFormat="1" applyFont="1" applyBorder="1" applyAlignment="1">
      <alignment horizontal="right"/>
    </xf>
    <xf numFmtId="0" fontId="12" fillId="0" borderId="10" xfId="0" applyFont="1" applyBorder="1" applyAlignment="1">
      <alignment horizontal="center"/>
    </xf>
    <xf numFmtId="165" fontId="12" fillId="0" borderId="10" xfId="0" applyNumberFormat="1" applyFont="1" applyBorder="1" applyAlignment="1">
      <alignment horizontal="right"/>
    </xf>
    <xf numFmtId="11" fontId="12" fillId="0" borderId="10" xfId="0" applyNumberFormat="1" applyFont="1" applyBorder="1" applyAlignment="1">
      <alignment horizontal="right"/>
    </xf>
    <xf numFmtId="0" fontId="12" fillId="0" borderId="14" xfId="0" applyFont="1" applyBorder="1"/>
    <xf numFmtId="0" fontId="12" fillId="0" borderId="15" xfId="0" applyFont="1" applyBorder="1" applyAlignment="1">
      <alignment horizontal="right"/>
    </xf>
    <xf numFmtId="0" fontId="12" fillId="0" borderId="16" xfId="0" applyFont="1" applyBorder="1" applyAlignment="1">
      <alignment horizontal="right"/>
    </xf>
    <xf numFmtId="0" fontId="12" fillId="0" borderId="17" xfId="0" applyFont="1" applyBorder="1" applyAlignment="1">
      <alignment horizontal="right"/>
    </xf>
    <xf numFmtId="0" fontId="12" fillId="0" borderId="18" xfId="3" applyFont="1" applyBorder="1" applyAlignment="1">
      <alignment horizontal="center"/>
    </xf>
    <xf numFmtId="0" fontId="12" fillId="0" borderId="16" xfId="3" applyFont="1" applyBorder="1" applyAlignment="1">
      <alignment horizontal="center"/>
    </xf>
    <xf numFmtId="0" fontId="12" fillId="0" borderId="19" xfId="3" applyFont="1" applyBorder="1" applyAlignment="1">
      <alignment horizontal="center"/>
    </xf>
    <xf numFmtId="0" fontId="12" fillId="0" borderId="17" xfId="3" applyFont="1" applyBorder="1" applyAlignment="1">
      <alignment horizontal="center"/>
    </xf>
    <xf numFmtId="0" fontId="9" fillId="0" borderId="0" xfId="0" applyFont="1" applyAlignment="1">
      <alignment horizontal="left"/>
    </xf>
    <xf numFmtId="0" fontId="2" fillId="0" borderId="0" xfId="0" applyFont="1"/>
    <xf numFmtId="2" fontId="0" fillId="0" borderId="0" xfId="0" applyNumberFormat="1" applyAlignment="1">
      <alignment horizontal="center"/>
    </xf>
    <xf numFmtId="0" fontId="0" fillId="0" borderId="20" xfId="0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25" xfId="0" applyNumberFormat="1" applyBorder="1" applyAlignment="1">
      <alignment horizontal="center"/>
    </xf>
    <xf numFmtId="2" fontId="0" fillId="0" borderId="26" xfId="0" quotePrefix="1" applyNumberFormat="1" applyBorder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/>
    <xf numFmtId="11" fontId="19" fillId="2" borderId="0" xfId="0" applyNumberFormat="1" applyFont="1" applyFill="1" applyAlignment="1">
      <alignment horizontal="right"/>
    </xf>
    <xf numFmtId="0" fontId="19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11" fontId="12" fillId="0" borderId="11" xfId="0" applyNumberFormat="1" applyFont="1" applyBorder="1" applyAlignment="1">
      <alignment horizontal="right"/>
    </xf>
    <xf numFmtId="0" fontId="12" fillId="0" borderId="10" xfId="0" applyFont="1" applyBorder="1" applyAlignment="1">
      <alignment horizontal="right"/>
    </xf>
    <xf numFmtId="11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11" fontId="19" fillId="3" borderId="0" xfId="0" applyNumberFormat="1" applyFont="1" applyFill="1" applyAlignment="1">
      <alignment horizontal="right"/>
    </xf>
    <xf numFmtId="0" fontId="4" fillId="0" borderId="27" xfId="0" applyFont="1" applyBorder="1" applyAlignment="1">
      <alignment vertical="center"/>
    </xf>
    <xf numFmtId="11" fontId="4" fillId="0" borderId="28" xfId="0" applyNumberFormat="1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" fillId="0" borderId="30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33" xfId="3" applyFont="1" applyBorder="1"/>
    <xf numFmtId="0" fontId="19" fillId="3" borderId="20" xfId="2" applyFont="1" applyFill="1" applyBorder="1"/>
    <xf numFmtId="11" fontId="19" fillId="3" borderId="22" xfId="3" applyNumberFormat="1" applyFont="1" applyFill="1" applyBorder="1"/>
    <xf numFmtId="0" fontId="19" fillId="3" borderId="0" xfId="2" applyFont="1" applyFill="1"/>
    <xf numFmtId="11" fontId="19" fillId="3" borderId="34" xfId="2" applyNumberFormat="1" applyFont="1" applyFill="1" applyBorder="1"/>
    <xf numFmtId="11" fontId="19" fillId="3" borderId="0" xfId="2" applyNumberFormat="1" applyFont="1" applyFill="1"/>
    <xf numFmtId="11" fontId="19" fillId="3" borderId="35" xfId="1" applyNumberFormat="1" applyFont="1" applyFill="1" applyBorder="1"/>
    <xf numFmtId="11" fontId="19" fillId="3" borderId="0" xfId="1" applyNumberFormat="1" applyFont="1" applyFill="1" applyBorder="1"/>
    <xf numFmtId="11" fontId="19" fillId="3" borderId="36" xfId="2" applyNumberFormat="1" applyFont="1" applyFill="1" applyBorder="1"/>
    <xf numFmtId="0" fontId="19" fillId="3" borderId="34" xfId="0" applyFont="1" applyFill="1" applyBorder="1" applyAlignment="1">
      <alignment horizontal="center"/>
    </xf>
    <xf numFmtId="0" fontId="19" fillId="3" borderId="0" xfId="0" applyFont="1" applyFill="1" applyAlignment="1">
      <alignment horizontal="center"/>
    </xf>
    <xf numFmtId="0" fontId="19" fillId="3" borderId="35" xfId="0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1" fontId="19" fillId="3" borderId="34" xfId="0" applyNumberFormat="1" applyFont="1" applyFill="1" applyBorder="1" applyAlignment="1">
      <alignment horizontal="right"/>
    </xf>
    <xf numFmtId="11" fontId="19" fillId="0" borderId="0" xfId="0" applyNumberFormat="1" applyFont="1"/>
    <xf numFmtId="11" fontId="19" fillId="3" borderId="0" xfId="0" quotePrefix="1" applyNumberFormat="1" applyFont="1" applyFill="1" applyAlignment="1">
      <alignment horizontal="right"/>
    </xf>
    <xf numFmtId="0" fontId="19" fillId="3" borderId="0" xfId="0" quotePrefix="1" applyFont="1" applyFill="1" applyAlignment="1">
      <alignment horizontal="right"/>
    </xf>
    <xf numFmtId="0" fontId="19" fillId="3" borderId="1" xfId="0" applyFont="1" applyFill="1" applyBorder="1"/>
    <xf numFmtId="1" fontId="19" fillId="3" borderId="34" xfId="0" applyNumberFormat="1" applyFont="1" applyFill="1" applyBorder="1"/>
    <xf numFmtId="0" fontId="19" fillId="3" borderId="0" xfId="0" applyFont="1" applyFill="1"/>
    <xf numFmtId="0" fontId="19" fillId="3" borderId="35" xfId="0" applyFont="1" applyFill="1" applyBorder="1"/>
    <xf numFmtId="0" fontId="19" fillId="3" borderId="37" xfId="0" applyFont="1" applyFill="1" applyBorder="1"/>
    <xf numFmtId="0" fontId="19" fillId="0" borderId="20" xfId="2" applyFont="1" applyBorder="1"/>
    <xf numFmtId="11" fontId="19" fillId="0" borderId="22" xfId="3" applyNumberFormat="1" applyFont="1" applyBorder="1"/>
    <xf numFmtId="0" fontId="19" fillId="0" borderId="0" xfId="2" applyFont="1"/>
    <xf numFmtId="11" fontId="19" fillId="0" borderId="34" xfId="2" applyNumberFormat="1" applyFont="1" applyBorder="1"/>
    <xf numFmtId="11" fontId="19" fillId="0" borderId="0" xfId="2" applyNumberFormat="1" applyFont="1"/>
    <xf numFmtId="11" fontId="19" fillId="0" borderId="35" xfId="1" applyNumberFormat="1" applyFont="1" applyFill="1" applyBorder="1"/>
    <xf numFmtId="11" fontId="19" fillId="0" borderId="0" xfId="1" applyNumberFormat="1" applyFont="1" applyFill="1" applyBorder="1"/>
    <xf numFmtId="11" fontId="19" fillId="0" borderId="36" xfId="2" applyNumberFormat="1" applyFont="1" applyBorder="1"/>
    <xf numFmtId="0" fontId="19" fillId="0" borderId="34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35" xfId="0" applyFont="1" applyBorder="1" applyAlignment="1">
      <alignment horizontal="center"/>
    </xf>
    <xf numFmtId="1" fontId="19" fillId="0" borderId="34" xfId="0" applyNumberFormat="1" applyFont="1" applyBorder="1"/>
    <xf numFmtId="0" fontId="19" fillId="0" borderId="35" xfId="0" applyFont="1" applyBorder="1"/>
    <xf numFmtId="0" fontId="19" fillId="0" borderId="37" xfId="0" applyFont="1" applyBorder="1"/>
    <xf numFmtId="165" fontId="19" fillId="0" borderId="0" xfId="0" applyNumberFormat="1" applyFont="1" applyAlignment="1">
      <alignment horizontal="right"/>
    </xf>
    <xf numFmtId="0" fontId="19" fillId="0" borderId="1" xfId="0" applyFont="1" applyBorder="1"/>
    <xf numFmtId="0" fontId="19" fillId="3" borderId="20" xfId="3" applyFont="1" applyFill="1" applyBorder="1"/>
    <xf numFmtId="0" fontId="19" fillId="3" borderId="0" xfId="3" applyFont="1" applyFill="1"/>
    <xf numFmtId="11" fontId="19" fillId="3" borderId="34" xfId="3" applyNumberFormat="1" applyFont="1" applyFill="1" applyBorder="1"/>
    <xf numFmtId="11" fontId="19" fillId="3" borderId="0" xfId="3" applyNumberFormat="1" applyFont="1" applyFill="1"/>
    <xf numFmtId="11" fontId="19" fillId="3" borderId="35" xfId="3" applyNumberFormat="1" applyFont="1" applyFill="1" applyBorder="1"/>
    <xf numFmtId="11" fontId="19" fillId="3" borderId="36" xfId="3" applyNumberFormat="1" applyFont="1" applyFill="1" applyBorder="1"/>
    <xf numFmtId="11" fontId="19" fillId="3" borderId="37" xfId="3" applyNumberFormat="1" applyFont="1" applyFill="1" applyBorder="1"/>
    <xf numFmtId="0" fontId="19" fillId="3" borderId="0" xfId="0" applyFont="1" applyFill="1" applyAlignment="1">
      <alignment horizontal="right"/>
    </xf>
    <xf numFmtId="1" fontId="19" fillId="3" borderId="0" xfId="0" applyNumberFormat="1" applyFont="1" applyFill="1"/>
    <xf numFmtId="1" fontId="19" fillId="3" borderId="35" xfId="0" applyNumberFormat="1" applyFont="1" applyFill="1" applyBorder="1"/>
    <xf numFmtId="1" fontId="19" fillId="3" borderId="37" xfId="0" applyNumberFormat="1" applyFont="1" applyFill="1" applyBorder="1"/>
    <xf numFmtId="0" fontId="19" fillId="0" borderId="20" xfId="3" applyFont="1" applyBorder="1"/>
    <xf numFmtId="0" fontId="19" fillId="0" borderId="0" xfId="3" applyFont="1"/>
    <xf numFmtId="11" fontId="19" fillId="0" borderId="34" xfId="3" applyNumberFormat="1" applyFont="1" applyBorder="1"/>
    <xf numFmtId="11" fontId="19" fillId="0" borderId="0" xfId="3" applyNumberFormat="1" applyFont="1"/>
    <xf numFmtId="11" fontId="19" fillId="0" borderId="35" xfId="3" applyNumberFormat="1" applyFont="1" applyBorder="1"/>
    <xf numFmtId="11" fontId="19" fillId="0" borderId="36" xfId="3" applyNumberFormat="1" applyFont="1" applyBorder="1"/>
    <xf numFmtId="11" fontId="19" fillId="0" borderId="37" xfId="3" applyNumberFormat="1" applyFont="1" applyBorder="1"/>
    <xf numFmtId="1" fontId="19" fillId="0" borderId="0" xfId="0" applyNumberFormat="1" applyFont="1"/>
    <xf numFmtId="1" fontId="19" fillId="0" borderId="35" xfId="0" applyNumberFormat="1" applyFont="1" applyBorder="1"/>
    <xf numFmtId="1" fontId="19" fillId="0" borderId="37" xfId="0" applyNumberFormat="1" applyFont="1" applyBorder="1"/>
    <xf numFmtId="11" fontId="19" fillId="0" borderId="37" xfId="2" applyNumberFormat="1" applyFont="1" applyBorder="1"/>
    <xf numFmtId="11" fontId="19" fillId="3" borderId="37" xfId="1" applyNumberFormat="1" applyFont="1" applyFill="1" applyBorder="1"/>
    <xf numFmtId="2" fontId="19" fillId="0" borderId="34" xfId="0" applyNumberFormat="1" applyFont="1" applyBorder="1"/>
    <xf numFmtId="165" fontId="19" fillId="2" borderId="0" xfId="0" applyNumberFormat="1" applyFont="1" applyFill="1" applyAlignment="1">
      <alignment horizontal="right"/>
    </xf>
    <xf numFmtId="0" fontId="19" fillId="0" borderId="38" xfId="0" applyFont="1" applyBorder="1"/>
    <xf numFmtId="0" fontId="19" fillId="3" borderId="0" xfId="2" applyFont="1" applyFill="1" applyAlignment="1">
      <alignment horizontal="right"/>
    </xf>
    <xf numFmtId="0" fontId="19" fillId="0" borderId="0" xfId="2" applyFont="1" applyAlignment="1">
      <alignment horizontal="right"/>
    </xf>
    <xf numFmtId="0" fontId="19" fillId="3" borderId="0" xfId="3" applyFont="1" applyFill="1" applyAlignment="1">
      <alignment horizontal="right"/>
    </xf>
    <xf numFmtId="0" fontId="19" fillId="0" borderId="0" xfId="3" applyFont="1" applyAlignment="1">
      <alignment horizontal="right"/>
    </xf>
    <xf numFmtId="0" fontId="19" fillId="4" borderId="20" xfId="2" applyFont="1" applyFill="1" applyBorder="1"/>
    <xf numFmtId="11" fontId="19" fillId="4" borderId="22" xfId="3" applyNumberFormat="1" applyFont="1" applyFill="1" applyBorder="1"/>
    <xf numFmtId="0" fontId="19" fillId="4" borderId="0" xfId="2" applyFont="1" applyFill="1"/>
    <xf numFmtId="0" fontId="19" fillId="4" borderId="0" xfId="2" applyFont="1" applyFill="1" applyAlignment="1">
      <alignment horizontal="right"/>
    </xf>
    <xf numFmtId="11" fontId="19" fillId="4" borderId="34" xfId="2" applyNumberFormat="1" applyFont="1" applyFill="1" applyBorder="1"/>
    <xf numFmtId="11" fontId="19" fillId="4" borderId="0" xfId="2" applyNumberFormat="1" applyFont="1" applyFill="1"/>
    <xf numFmtId="11" fontId="19" fillId="4" borderId="35" xfId="1" applyNumberFormat="1" applyFont="1" applyFill="1" applyBorder="1"/>
    <xf numFmtId="11" fontId="19" fillId="4" borderId="0" xfId="1" applyNumberFormat="1" applyFont="1" applyFill="1" applyBorder="1"/>
    <xf numFmtId="11" fontId="19" fillId="4" borderId="36" xfId="2" applyNumberFormat="1" applyFont="1" applyFill="1" applyBorder="1"/>
    <xf numFmtId="0" fontId="19" fillId="4" borderId="34" xfId="0" applyFont="1" applyFill="1" applyBorder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35" xfId="0" applyFont="1" applyFill="1" applyBorder="1" applyAlignment="1">
      <alignment horizontal="center"/>
    </xf>
    <xf numFmtId="165" fontId="19" fillId="4" borderId="0" xfId="0" applyNumberFormat="1" applyFont="1" applyFill="1" applyAlignment="1">
      <alignment horizontal="right"/>
    </xf>
    <xf numFmtId="11" fontId="19" fillId="4" borderId="0" xfId="0" applyNumberFormat="1" applyFont="1" applyFill="1" applyAlignment="1">
      <alignment horizontal="right"/>
    </xf>
    <xf numFmtId="11" fontId="19" fillId="4" borderId="0" xfId="0" quotePrefix="1" applyNumberFormat="1" applyFont="1" applyFill="1" applyAlignment="1">
      <alignment horizontal="right"/>
    </xf>
    <xf numFmtId="0" fontId="19" fillId="4" borderId="0" xfId="0" quotePrefix="1" applyFont="1" applyFill="1" applyAlignment="1">
      <alignment horizontal="right"/>
    </xf>
    <xf numFmtId="0" fontId="19" fillId="4" borderId="1" xfId="0" applyFont="1" applyFill="1" applyBorder="1"/>
    <xf numFmtId="11" fontId="19" fillId="4" borderId="0" xfId="0" applyNumberFormat="1" applyFont="1" applyFill="1"/>
    <xf numFmtId="0" fontId="19" fillId="4" borderId="0" xfId="0" applyFont="1" applyFill="1"/>
    <xf numFmtId="0" fontId="19" fillId="5" borderId="20" xfId="2" applyFont="1" applyFill="1" applyBorder="1"/>
    <xf numFmtId="11" fontId="19" fillId="5" borderId="22" xfId="3" applyNumberFormat="1" applyFont="1" applyFill="1" applyBorder="1"/>
    <xf numFmtId="0" fontId="19" fillId="5" borderId="0" xfId="2" applyFont="1" applyFill="1"/>
    <xf numFmtId="0" fontId="19" fillId="5" borderId="0" xfId="2" applyFont="1" applyFill="1" applyAlignment="1">
      <alignment horizontal="right"/>
    </xf>
    <xf numFmtId="11" fontId="19" fillId="5" borderId="34" xfId="2" applyNumberFormat="1" applyFont="1" applyFill="1" applyBorder="1"/>
    <xf numFmtId="11" fontId="19" fillId="5" borderId="0" xfId="2" applyNumberFormat="1" applyFont="1" applyFill="1"/>
    <xf numFmtId="11" fontId="19" fillId="5" borderId="35" xfId="1" applyNumberFormat="1" applyFont="1" applyFill="1" applyBorder="1"/>
    <xf numFmtId="11" fontId="19" fillId="5" borderId="0" xfId="1" applyNumberFormat="1" applyFont="1" applyFill="1" applyBorder="1"/>
    <xf numFmtId="11" fontId="19" fillId="5" borderId="36" xfId="2" applyNumberFormat="1" applyFont="1" applyFill="1" applyBorder="1"/>
    <xf numFmtId="11" fontId="19" fillId="5" borderId="37" xfId="2" applyNumberFormat="1" applyFont="1" applyFill="1" applyBorder="1"/>
    <xf numFmtId="0" fontId="19" fillId="5" borderId="34" xfId="0" applyFont="1" applyFill="1" applyBorder="1" applyAlignment="1">
      <alignment horizontal="center"/>
    </xf>
    <xf numFmtId="0" fontId="19" fillId="5" borderId="0" xfId="0" applyFont="1" applyFill="1" applyAlignment="1">
      <alignment horizontal="center"/>
    </xf>
    <xf numFmtId="0" fontId="19" fillId="5" borderId="35" xfId="0" applyFont="1" applyFill="1" applyBorder="1" applyAlignment="1">
      <alignment horizontal="center"/>
    </xf>
    <xf numFmtId="0" fontId="19" fillId="5" borderId="37" xfId="0" applyFont="1" applyFill="1" applyBorder="1" applyAlignment="1">
      <alignment horizontal="center"/>
    </xf>
    <xf numFmtId="1" fontId="19" fillId="5" borderId="34" xfId="0" applyNumberFormat="1" applyFont="1" applyFill="1" applyBorder="1" applyAlignment="1">
      <alignment horizontal="right"/>
    </xf>
    <xf numFmtId="0" fontId="19" fillId="5" borderId="36" xfId="0" applyFont="1" applyFill="1" applyBorder="1" applyAlignment="1">
      <alignment horizontal="right"/>
    </xf>
    <xf numFmtId="0" fontId="19" fillId="5" borderId="0" xfId="0" applyFont="1" applyFill="1" applyAlignment="1">
      <alignment horizontal="right"/>
    </xf>
    <xf numFmtId="0" fontId="19" fillId="5" borderId="37" xfId="0" applyFont="1" applyFill="1" applyBorder="1" applyAlignment="1">
      <alignment horizontal="right"/>
    </xf>
    <xf numFmtId="165" fontId="19" fillId="5" borderId="0" xfId="0" applyNumberFormat="1" applyFont="1" applyFill="1" applyAlignment="1">
      <alignment horizontal="right"/>
    </xf>
    <xf numFmtId="11" fontId="19" fillId="5" borderId="0" xfId="0" applyNumberFormat="1" applyFont="1" applyFill="1" applyAlignment="1">
      <alignment horizontal="right"/>
    </xf>
    <xf numFmtId="11" fontId="19" fillId="5" borderId="0" xfId="0" quotePrefix="1" applyNumberFormat="1" applyFont="1" applyFill="1" applyAlignment="1">
      <alignment horizontal="right"/>
    </xf>
    <xf numFmtId="0" fontId="19" fillId="5" borderId="0" xfId="0" quotePrefix="1" applyFont="1" applyFill="1" applyAlignment="1">
      <alignment horizontal="right"/>
    </xf>
    <xf numFmtId="0" fontId="19" fillId="5" borderId="1" xfId="0" applyFont="1" applyFill="1" applyBorder="1"/>
    <xf numFmtId="0" fontId="0" fillId="5" borderId="0" xfId="0" applyFill="1" applyAlignment="1">
      <alignment horizontal="center"/>
    </xf>
    <xf numFmtId="11" fontId="19" fillId="4" borderId="37" xfId="1" applyNumberFormat="1" applyFont="1" applyFill="1" applyBorder="1"/>
    <xf numFmtId="1" fontId="19" fillId="4" borderId="34" xfId="0" applyNumberFormat="1" applyFont="1" applyFill="1" applyBorder="1"/>
    <xf numFmtId="0" fontId="19" fillId="4" borderId="35" xfId="0" applyFont="1" applyFill="1" applyBorder="1"/>
    <xf numFmtId="0" fontId="19" fillId="4" borderId="37" xfId="0" applyFont="1" applyFill="1" applyBorder="1"/>
    <xf numFmtId="0" fontId="19" fillId="4" borderId="20" xfId="3" applyFont="1" applyFill="1" applyBorder="1"/>
    <xf numFmtId="0" fontId="19" fillId="4" borderId="0" xfId="3" applyFont="1" applyFill="1"/>
    <xf numFmtId="0" fontId="19" fillId="4" borderId="0" xfId="3" applyFont="1" applyFill="1" applyAlignment="1">
      <alignment horizontal="right"/>
    </xf>
    <xf numFmtId="11" fontId="19" fillId="4" borderId="34" xfId="3" applyNumberFormat="1" applyFont="1" applyFill="1" applyBorder="1"/>
    <xf numFmtId="11" fontId="19" fillId="4" borderId="0" xfId="3" applyNumberFormat="1" applyFont="1" applyFill="1"/>
    <xf numFmtId="11" fontId="19" fillId="4" borderId="35" xfId="3" applyNumberFormat="1" applyFont="1" applyFill="1" applyBorder="1"/>
    <xf numFmtId="11" fontId="19" fillId="4" borderId="36" xfId="3" applyNumberFormat="1" applyFont="1" applyFill="1" applyBorder="1"/>
    <xf numFmtId="11" fontId="19" fillId="4" borderId="37" xfId="3" applyNumberFormat="1" applyFont="1" applyFill="1" applyBorder="1"/>
    <xf numFmtId="0" fontId="19" fillId="4" borderId="0" xfId="0" applyFont="1" applyFill="1" applyAlignment="1">
      <alignment horizontal="right"/>
    </xf>
    <xf numFmtId="1" fontId="19" fillId="4" borderId="0" xfId="0" applyNumberFormat="1" applyFont="1" applyFill="1"/>
    <xf numFmtId="1" fontId="19" fillId="4" borderId="35" xfId="0" applyNumberFormat="1" applyFont="1" applyFill="1" applyBorder="1"/>
    <xf numFmtId="1" fontId="19" fillId="4" borderId="37" xfId="0" applyNumberFormat="1" applyFont="1" applyFill="1" applyBorder="1"/>
    <xf numFmtId="11" fontId="2" fillId="0" borderId="34" xfId="0" applyNumberFormat="1" applyFont="1" applyBorder="1" applyAlignment="1">
      <alignment horizontal="right"/>
    </xf>
    <xf numFmtId="165" fontId="10" fillId="0" borderId="37" xfId="0" applyNumberFormat="1" applyFont="1" applyBorder="1" applyAlignment="1">
      <alignment horizontal="right"/>
    </xf>
    <xf numFmtId="165" fontId="12" fillId="0" borderId="39" xfId="0" applyNumberFormat="1" applyFont="1" applyBorder="1" applyAlignment="1">
      <alignment horizontal="right"/>
    </xf>
    <xf numFmtId="11" fontId="19" fillId="3" borderId="34" xfId="0" applyNumberFormat="1" applyFont="1" applyFill="1" applyBorder="1" applyAlignment="1">
      <alignment horizontal="right"/>
    </xf>
    <xf numFmtId="165" fontId="19" fillId="3" borderId="37" xfId="0" applyNumberFormat="1" applyFont="1" applyFill="1" applyBorder="1" applyAlignment="1">
      <alignment horizontal="right"/>
    </xf>
    <xf numFmtId="11" fontId="19" fillId="3" borderId="34" xfId="0" quotePrefix="1" applyNumberFormat="1" applyFont="1" applyFill="1" applyBorder="1" applyAlignment="1">
      <alignment horizontal="right"/>
    </xf>
    <xf numFmtId="165" fontId="19" fillId="3" borderId="37" xfId="0" quotePrefix="1" applyNumberFormat="1" applyFont="1" applyFill="1" applyBorder="1" applyAlignment="1">
      <alignment horizontal="right"/>
    </xf>
    <xf numFmtId="11" fontId="19" fillId="5" borderId="34" xfId="0" quotePrefix="1" applyNumberFormat="1" applyFont="1" applyFill="1" applyBorder="1" applyAlignment="1">
      <alignment horizontal="right"/>
    </xf>
    <xf numFmtId="165" fontId="19" fillId="5" borderId="37" xfId="0" quotePrefix="1" applyNumberFormat="1" applyFont="1" applyFill="1" applyBorder="1" applyAlignment="1">
      <alignment horizontal="right"/>
    </xf>
    <xf numFmtId="11" fontId="19" fillId="0" borderId="34" xfId="0" applyNumberFormat="1" applyFont="1" applyBorder="1" applyAlignment="1">
      <alignment horizontal="right"/>
    </xf>
    <xf numFmtId="165" fontId="19" fillId="0" borderId="37" xfId="0" applyNumberFormat="1" applyFont="1" applyBorder="1" applyAlignment="1">
      <alignment horizontal="right"/>
    </xf>
    <xf numFmtId="11" fontId="19" fillId="0" borderId="34" xfId="0" quotePrefix="1" applyNumberFormat="1" applyFont="1" applyBorder="1" applyAlignment="1">
      <alignment horizontal="right"/>
    </xf>
    <xf numFmtId="11" fontId="19" fillId="4" borderId="34" xfId="0" quotePrefix="1" applyNumberFormat="1" applyFont="1" applyFill="1" applyBorder="1" applyAlignment="1">
      <alignment horizontal="right"/>
    </xf>
    <xf numFmtId="165" fontId="19" fillId="4" borderId="37" xfId="0" quotePrefix="1" applyNumberFormat="1" applyFont="1" applyFill="1" applyBorder="1" applyAlignment="1">
      <alignment horizontal="right"/>
    </xf>
    <xf numFmtId="11" fontId="19" fillId="4" borderId="34" xfId="0" applyNumberFormat="1" applyFont="1" applyFill="1" applyBorder="1" applyAlignment="1">
      <alignment horizontal="right"/>
    </xf>
    <xf numFmtId="165" fontId="19" fillId="4" borderId="37" xfId="0" applyNumberFormat="1" applyFont="1" applyFill="1" applyBorder="1" applyAlignment="1">
      <alignment horizontal="right"/>
    </xf>
    <xf numFmtId="11" fontId="0" fillId="3" borderId="34" xfId="0" quotePrefix="1" applyNumberFormat="1" applyFill="1" applyBorder="1" applyAlignment="1">
      <alignment horizontal="right"/>
    </xf>
    <xf numFmtId="11" fontId="0" fillId="3" borderId="0" xfId="0" quotePrefix="1" applyNumberFormat="1" applyFill="1" applyAlignment="1">
      <alignment horizontal="right"/>
    </xf>
    <xf numFmtId="0" fontId="0" fillId="3" borderId="0" xfId="0" quotePrefix="1" applyFill="1" applyAlignment="1">
      <alignment horizontal="right"/>
    </xf>
    <xf numFmtId="11" fontId="0" fillId="3" borderId="0" xfId="1" applyNumberFormat="1" applyFont="1" applyFill="1" applyBorder="1"/>
    <xf numFmtId="11" fontId="0" fillId="0" borderId="34" xfId="0" quotePrefix="1" applyNumberFormat="1" applyBorder="1" applyAlignment="1">
      <alignment horizontal="right"/>
    </xf>
    <xf numFmtId="11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" fontId="19" fillId="4" borderId="34" xfId="0" applyNumberFormat="1" applyFont="1" applyFill="1" applyBorder="1" applyAlignment="1">
      <alignment horizontal="right"/>
    </xf>
    <xf numFmtId="11" fontId="19" fillId="5" borderId="34" xfId="0" applyNumberFormat="1" applyFont="1" applyFill="1" applyBorder="1" applyAlignment="1">
      <alignment horizontal="right"/>
    </xf>
    <xf numFmtId="165" fontId="19" fillId="5" borderId="37" xfId="0" applyNumberFormat="1" applyFont="1" applyFill="1" applyBorder="1" applyAlignment="1">
      <alignment horizontal="right"/>
    </xf>
    <xf numFmtId="0" fontId="1" fillId="0" borderId="0" xfId="0" applyFont="1"/>
    <xf numFmtId="164" fontId="29" fillId="0" borderId="0" xfId="0" quotePrefix="1" applyNumberFormat="1" applyFont="1" applyAlignment="1">
      <alignment horizontal="right"/>
    </xf>
    <xf numFmtId="2" fontId="0" fillId="0" borderId="0" xfId="0" quotePrefix="1" applyNumberFormat="1" applyAlignment="1">
      <alignment horizontal="right"/>
    </xf>
    <xf numFmtId="0" fontId="3" fillId="0" borderId="0" xfId="3" applyFont="1"/>
    <xf numFmtId="2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30" fillId="0" borderId="0" xfId="0" applyFont="1"/>
    <xf numFmtId="164" fontId="0" fillId="0" borderId="0" xfId="0" applyNumberFormat="1"/>
    <xf numFmtId="0" fontId="0" fillId="0" borderId="0" xfId="3" applyFont="1"/>
    <xf numFmtId="164" fontId="28" fillId="0" borderId="0" xfId="0" quotePrefix="1" applyNumberFormat="1" applyFont="1"/>
    <xf numFmtId="2" fontId="0" fillId="0" borderId="0" xfId="0" applyNumberFormat="1"/>
    <xf numFmtId="164" fontId="15" fillId="0" borderId="0" xfId="0" applyNumberFormat="1" applyFont="1"/>
    <xf numFmtId="0" fontId="19" fillId="0" borderId="23" xfId="2" applyFont="1" applyBorder="1"/>
    <xf numFmtId="11" fontId="19" fillId="0" borderId="25" xfId="3" applyNumberFormat="1" applyFont="1" applyBorder="1"/>
    <xf numFmtId="0" fontId="19" fillId="0" borderId="40" xfId="2" applyFont="1" applyBorder="1"/>
    <xf numFmtId="0" fontId="19" fillId="0" borderId="38" xfId="2" applyFont="1" applyBorder="1"/>
    <xf numFmtId="0" fontId="19" fillId="0" borderId="38" xfId="2" applyFont="1" applyBorder="1" applyAlignment="1">
      <alignment horizontal="right"/>
    </xf>
    <xf numFmtId="11" fontId="19" fillId="0" borderId="40" xfId="2" applyNumberFormat="1" applyFont="1" applyBorder="1"/>
    <xf numFmtId="11" fontId="19" fillId="0" borderId="38" xfId="2" applyNumberFormat="1" applyFont="1" applyBorder="1"/>
    <xf numFmtId="11" fontId="19" fillId="0" borderId="41" xfId="1" applyNumberFormat="1" applyFont="1" applyFill="1" applyBorder="1"/>
    <xf numFmtId="11" fontId="19" fillId="0" borderId="38" xfId="1" applyNumberFormat="1" applyFont="1" applyFill="1" applyBorder="1"/>
    <xf numFmtId="11" fontId="19" fillId="0" borderId="42" xfId="2" applyNumberFormat="1" applyFont="1" applyBorder="1"/>
    <xf numFmtId="11" fontId="19" fillId="0" borderId="43" xfId="1" applyNumberFormat="1" applyFont="1" applyFill="1" applyBorder="1"/>
    <xf numFmtId="0" fontId="19" fillId="0" borderId="40" xfId="0" applyFont="1" applyBorder="1" applyAlignment="1">
      <alignment horizontal="center"/>
    </xf>
    <xf numFmtId="0" fontId="19" fillId="0" borderId="38" xfId="0" applyFont="1" applyBorder="1" applyAlignment="1">
      <alignment horizontal="center"/>
    </xf>
    <xf numFmtId="0" fontId="19" fillId="0" borderId="41" xfId="0" applyFont="1" applyBorder="1" applyAlignment="1">
      <alignment horizontal="center"/>
    </xf>
    <xf numFmtId="0" fontId="0" fillId="0" borderId="38" xfId="0" quotePrefix="1" applyBorder="1" applyAlignment="1">
      <alignment horizontal="center"/>
    </xf>
    <xf numFmtId="0" fontId="0" fillId="0" borderId="38" xfId="0" applyBorder="1" applyAlignment="1">
      <alignment horizontal="center"/>
    </xf>
    <xf numFmtId="1" fontId="19" fillId="0" borderId="40" xfId="0" applyNumberFormat="1" applyFont="1" applyBorder="1"/>
    <xf numFmtId="0" fontId="19" fillId="0" borderId="41" xfId="0" applyFont="1" applyBorder="1"/>
    <xf numFmtId="0" fontId="19" fillId="0" borderId="43" xfId="0" applyFont="1" applyBorder="1"/>
    <xf numFmtId="165" fontId="19" fillId="0" borderId="38" xfId="0" applyNumberFormat="1" applyFont="1" applyBorder="1" applyAlignment="1">
      <alignment horizontal="right"/>
    </xf>
    <xf numFmtId="11" fontId="19" fillId="0" borderId="38" xfId="0" applyNumberFormat="1" applyFont="1" applyBorder="1" applyAlignment="1">
      <alignment horizontal="right"/>
    </xf>
    <xf numFmtId="11" fontId="0" fillId="0" borderId="40" xfId="0" quotePrefix="1" applyNumberFormat="1" applyBorder="1" applyAlignment="1">
      <alignment horizontal="right"/>
    </xf>
    <xf numFmtId="11" fontId="0" fillId="0" borderId="38" xfId="0" applyNumberFormat="1" applyBorder="1" applyAlignment="1">
      <alignment horizontal="right"/>
    </xf>
    <xf numFmtId="0" fontId="0" fillId="0" borderId="38" xfId="0" applyBorder="1" applyAlignment="1">
      <alignment horizontal="right"/>
    </xf>
    <xf numFmtId="165" fontId="19" fillId="0" borderId="43" xfId="0" applyNumberFormat="1" applyFont="1" applyBorder="1" applyAlignment="1">
      <alignment horizontal="right"/>
    </xf>
    <xf numFmtId="0" fontId="0" fillId="0" borderId="26" xfId="0" applyBorder="1"/>
    <xf numFmtId="0" fontId="4" fillId="0" borderId="0" xfId="0" applyFont="1"/>
    <xf numFmtId="0" fontId="14" fillId="0" borderId="0" xfId="0" applyFont="1"/>
    <xf numFmtId="0" fontId="0" fillId="0" borderId="0" xfId="0" quotePrefix="1"/>
    <xf numFmtId="165" fontId="0" fillId="0" borderId="0" xfId="0" applyNumberFormat="1" applyAlignment="1">
      <alignment horizontal="right"/>
    </xf>
    <xf numFmtId="164" fontId="0" fillId="0" borderId="0" xfId="0" quotePrefix="1" applyNumberFormat="1" applyAlignment="1">
      <alignment horizontal="right"/>
    </xf>
    <xf numFmtId="164" fontId="28" fillId="0" borderId="0" xfId="0" quotePrefix="1" applyNumberFormat="1" applyFont="1" applyAlignment="1">
      <alignment horizontal="right"/>
    </xf>
    <xf numFmtId="0" fontId="29" fillId="0" borderId="0" xfId="0" applyFont="1" applyAlignment="1">
      <alignment horizontal="left"/>
    </xf>
    <xf numFmtId="1" fontId="0" fillId="0" borderId="0" xfId="0" quotePrefix="1" applyNumberFormat="1" applyAlignment="1">
      <alignment horizontal="right"/>
    </xf>
    <xf numFmtId="11" fontId="0" fillId="0" borderId="0" xfId="0" quotePrefix="1" applyNumberFormat="1" applyAlignment="1">
      <alignment horizontal="right"/>
    </xf>
    <xf numFmtId="0" fontId="2" fillId="0" borderId="44" xfId="0" applyFont="1" applyBorder="1"/>
    <xf numFmtId="2" fontId="0" fillId="0" borderId="0" xfId="0" quotePrefix="1" applyNumberFormat="1"/>
    <xf numFmtId="0" fontId="3" fillId="0" borderId="0" xfId="0" applyFont="1"/>
    <xf numFmtId="0" fontId="30" fillId="0" borderId="0" xfId="0" applyFont="1" applyAlignment="1">
      <alignment horizontal="right"/>
    </xf>
    <xf numFmtId="2" fontId="30" fillId="0" borderId="0" xfId="0" applyNumberFormat="1" applyFont="1"/>
    <xf numFmtId="11" fontId="30" fillId="0" borderId="0" xfId="0" applyNumberFormat="1" applyFont="1"/>
    <xf numFmtId="164" fontId="0" fillId="0" borderId="0" xfId="0" quotePrefix="1" applyNumberFormat="1"/>
    <xf numFmtId="164" fontId="30" fillId="0" borderId="0" xfId="0" quotePrefix="1" applyNumberFormat="1" applyFont="1"/>
    <xf numFmtId="2" fontId="30" fillId="0" borderId="0" xfId="0" quotePrefix="1" applyNumberFormat="1" applyFont="1"/>
    <xf numFmtId="11" fontId="30" fillId="0" borderId="0" xfId="0" quotePrefix="1" applyNumberFormat="1" applyFont="1" applyAlignment="1">
      <alignment horizontal="right"/>
    </xf>
    <xf numFmtId="165" fontId="0" fillId="0" borderId="0" xfId="0" applyNumberFormat="1"/>
    <xf numFmtId="165" fontId="0" fillId="0" borderId="44" xfId="0" applyNumberFormat="1" applyBorder="1"/>
    <xf numFmtId="2" fontId="0" fillId="0" borderId="44" xfId="0" applyNumberFormat="1" applyBorder="1"/>
    <xf numFmtId="0" fontId="4" fillId="0" borderId="44" xfId="0" applyFont="1" applyBorder="1"/>
    <xf numFmtId="0" fontId="27" fillId="0" borderId="0" xfId="0" applyFont="1"/>
    <xf numFmtId="0" fontId="4" fillId="0" borderId="45" xfId="0" applyFont="1" applyBorder="1"/>
    <xf numFmtId="0" fontId="4" fillId="0" borderId="46" xfId="0" applyFont="1" applyBorder="1"/>
    <xf numFmtId="0" fontId="4" fillId="0" borderId="47" xfId="0" applyFont="1" applyBorder="1"/>
    <xf numFmtId="11" fontId="30" fillId="0" borderId="0" xfId="0" quotePrefix="1" applyNumberFormat="1" applyFont="1"/>
    <xf numFmtId="0" fontId="2" fillId="0" borderId="44" xfId="0" applyFont="1" applyBorder="1" applyAlignment="1">
      <alignment horizontal="right"/>
    </xf>
    <xf numFmtId="0" fontId="9" fillId="0" borderId="0" xfId="3" applyFont="1"/>
    <xf numFmtId="0" fontId="2" fillId="0" borderId="0" xfId="0" applyFont="1" applyAlignment="1">
      <alignment horizontal="left"/>
    </xf>
    <xf numFmtId="164" fontId="9" fillId="0" borderId="0" xfId="0" applyNumberFormat="1" applyFont="1"/>
    <xf numFmtId="0" fontId="16" fillId="0" borderId="0" xfId="0" applyFont="1"/>
    <xf numFmtId="0" fontId="19" fillId="0" borderId="0" xfId="0" applyFont="1" applyAlignment="1">
      <alignment horizontal="left"/>
    </xf>
    <xf numFmtId="0" fontId="1" fillId="0" borderId="0" xfId="0" quotePrefix="1" applyFont="1"/>
    <xf numFmtId="164" fontId="1" fillId="0" borderId="0" xfId="0" quotePrefix="1" applyNumberFormat="1" applyFont="1"/>
    <xf numFmtId="164" fontId="1" fillId="0" borderId="0" xfId="0" applyNumberFormat="1" applyFont="1"/>
    <xf numFmtId="2" fontId="1" fillId="0" borderId="0" xfId="0" applyNumberFormat="1" applyFont="1"/>
    <xf numFmtId="0" fontId="9" fillId="0" borderId="0" xfId="2" applyFont="1"/>
    <xf numFmtId="0" fontId="4" fillId="0" borderId="0" xfId="0" applyFont="1" applyAlignment="1">
      <alignment horizontal="left"/>
    </xf>
    <xf numFmtId="2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164" fontId="9" fillId="0" borderId="0" xfId="0" quotePrefix="1" applyNumberFormat="1" applyFont="1" applyAlignment="1">
      <alignment horizontal="right"/>
    </xf>
    <xf numFmtId="2" fontId="9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center"/>
    </xf>
    <xf numFmtId="0" fontId="9" fillId="0" borderId="48" xfId="0" applyFont="1" applyBorder="1"/>
    <xf numFmtId="0" fontId="9" fillId="0" borderId="49" xfId="0" applyFont="1" applyBorder="1" applyAlignment="1">
      <alignment horizontal="left"/>
    </xf>
    <xf numFmtId="0" fontId="9" fillId="0" borderId="8" xfId="0" applyFont="1" applyBorder="1"/>
    <xf numFmtId="0" fontId="9" fillId="0" borderId="39" xfId="0" applyFont="1" applyBorder="1" applyAlignment="1">
      <alignment horizontal="left"/>
    </xf>
    <xf numFmtId="0" fontId="9" fillId="0" borderId="9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20" xfId="0" applyFont="1" applyBorder="1"/>
    <xf numFmtId="0" fontId="9" fillId="0" borderId="2" xfId="0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0" borderId="50" xfId="0" applyNumberFormat="1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164" fontId="9" fillId="0" borderId="22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5" fontId="19" fillId="0" borderId="0" xfId="0" applyNumberFormat="1" applyFont="1" applyAlignment="1">
      <alignment horizontal="center"/>
    </xf>
    <xf numFmtId="2" fontId="9" fillId="0" borderId="22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9" fillId="0" borderId="51" xfId="0" applyFont="1" applyBorder="1"/>
    <xf numFmtId="0" fontId="9" fillId="0" borderId="52" xfId="0" applyFont="1" applyBorder="1"/>
    <xf numFmtId="2" fontId="9" fillId="0" borderId="53" xfId="0" applyNumberFormat="1" applyFont="1" applyBorder="1" applyAlignment="1">
      <alignment horizontal="center"/>
    </xf>
    <xf numFmtId="2" fontId="9" fillId="0" borderId="54" xfId="0" applyNumberFormat="1" applyFont="1" applyBorder="1" applyAlignment="1">
      <alignment horizontal="center"/>
    </xf>
    <xf numFmtId="0" fontId="3" fillId="0" borderId="20" xfId="0" applyFont="1" applyBorder="1"/>
    <xf numFmtId="0" fontId="19" fillId="0" borderId="0" xfId="0" quotePrefix="1" applyFont="1" applyAlignment="1">
      <alignment horizontal="center"/>
    </xf>
    <xf numFmtId="0" fontId="3" fillId="0" borderId="51" xfId="0" applyFont="1" applyBorder="1"/>
    <xf numFmtId="2" fontId="19" fillId="0" borderId="0" xfId="0" quotePrefix="1" applyNumberFormat="1" applyFont="1" applyAlignment="1">
      <alignment horizontal="center"/>
    </xf>
    <xf numFmtId="2" fontId="9" fillId="0" borderId="0" xfId="0" quotePrefix="1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2" fontId="19" fillId="0" borderId="22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0" fontId="3" fillId="0" borderId="55" xfId="0" applyFont="1" applyBorder="1"/>
    <xf numFmtId="0" fontId="9" fillId="0" borderId="56" xfId="0" applyFont="1" applyBorder="1"/>
    <xf numFmtId="165" fontId="19" fillId="0" borderId="57" xfId="0" quotePrefix="1" applyNumberFormat="1" applyFont="1" applyBorder="1" applyAlignment="1">
      <alignment horizontal="center"/>
    </xf>
    <xf numFmtId="165" fontId="19" fillId="0" borderId="57" xfId="0" applyNumberFormat="1" applyFont="1" applyBorder="1" applyAlignment="1">
      <alignment horizontal="center"/>
    </xf>
    <xf numFmtId="165" fontId="19" fillId="0" borderId="58" xfId="0" applyNumberFormat="1" applyFont="1" applyBorder="1" applyAlignment="1">
      <alignment horizontal="center"/>
    </xf>
    <xf numFmtId="165" fontId="19" fillId="0" borderId="53" xfId="0" applyNumberFormat="1" applyFont="1" applyBorder="1" applyAlignment="1">
      <alignment horizontal="center"/>
    </xf>
    <xf numFmtId="165" fontId="19" fillId="0" borderId="54" xfId="0" applyNumberFormat="1" applyFont="1" applyBorder="1" applyAlignment="1">
      <alignment horizontal="center"/>
    </xf>
    <xf numFmtId="165" fontId="19" fillId="0" borderId="22" xfId="0" quotePrefix="1" applyNumberFormat="1" applyFont="1" applyBorder="1" applyAlignment="1">
      <alignment horizontal="center"/>
    </xf>
    <xf numFmtId="165" fontId="19" fillId="0" borderId="22" xfId="0" applyNumberFormat="1" applyFont="1" applyBorder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0" fontId="19" fillId="0" borderId="56" xfId="0" applyFont="1" applyBorder="1"/>
    <xf numFmtId="0" fontId="19" fillId="0" borderId="51" xfId="0" applyFont="1" applyBorder="1"/>
    <xf numFmtId="0" fontId="19" fillId="0" borderId="52" xfId="0" applyFont="1" applyBorder="1"/>
    <xf numFmtId="0" fontId="21" fillId="0" borderId="20" xfId="0" applyFont="1" applyBorder="1"/>
    <xf numFmtId="0" fontId="21" fillId="0" borderId="59" xfId="0" applyFont="1" applyBorder="1"/>
    <xf numFmtId="0" fontId="19" fillId="0" borderId="60" xfId="0" applyFont="1" applyBorder="1"/>
    <xf numFmtId="165" fontId="19" fillId="0" borderId="61" xfId="0" quotePrefix="1" applyNumberFormat="1" applyFont="1" applyBorder="1" applyAlignment="1">
      <alignment horizontal="center"/>
    </xf>
    <xf numFmtId="165" fontId="19" fillId="0" borderId="61" xfId="0" applyNumberFormat="1" applyFont="1" applyBorder="1" applyAlignment="1">
      <alignment horizontal="center"/>
    </xf>
    <xf numFmtId="165" fontId="19" fillId="0" borderId="62" xfId="0" applyNumberFormat="1" applyFont="1" applyBorder="1" applyAlignment="1">
      <alignment horizontal="center"/>
    </xf>
    <xf numFmtId="0" fontId="21" fillId="0" borderId="63" xfId="0" applyFont="1" applyBorder="1"/>
    <xf numFmtId="0" fontId="19" fillId="0" borderId="64" xfId="0" applyFont="1" applyBorder="1"/>
    <xf numFmtId="165" fontId="19" fillId="0" borderId="65" xfId="0" applyNumberFormat="1" applyFont="1" applyBorder="1" applyAlignment="1">
      <alignment horizontal="center"/>
    </xf>
    <xf numFmtId="165" fontId="19" fillId="0" borderId="66" xfId="0" applyNumberFormat="1" applyFont="1" applyBorder="1" applyAlignment="1">
      <alignment horizontal="center"/>
    </xf>
    <xf numFmtId="0" fontId="21" fillId="0" borderId="23" xfId="0" applyFont="1" applyBorder="1"/>
    <xf numFmtId="165" fontId="19" fillId="0" borderId="25" xfId="0" applyNumberFormat="1" applyFont="1" applyBorder="1" applyAlignment="1">
      <alignment horizontal="center"/>
    </xf>
    <xf numFmtId="165" fontId="19" fillId="0" borderId="26" xfId="0" applyNumberFormat="1" applyFont="1" applyBorder="1" applyAlignment="1">
      <alignment horizontal="center"/>
    </xf>
    <xf numFmtId="0" fontId="19" fillId="0" borderId="67" xfId="0" quotePrefix="1" applyFont="1" applyBorder="1" applyAlignment="1">
      <alignment horizontal="center"/>
    </xf>
    <xf numFmtId="2" fontId="19" fillId="0" borderId="22" xfId="0" quotePrefix="1" applyNumberFormat="1" applyFont="1" applyBorder="1" applyAlignment="1">
      <alignment horizontal="center"/>
    </xf>
    <xf numFmtId="2" fontId="9" fillId="0" borderId="22" xfId="0" quotePrefix="1" applyNumberFormat="1" applyFont="1" applyBorder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164" fontId="9" fillId="0" borderId="4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164" fontId="9" fillId="0" borderId="34" xfId="0" applyNumberFormat="1" applyFont="1" applyBorder="1" applyAlignment="1">
      <alignment horizontal="center"/>
    </xf>
    <xf numFmtId="164" fontId="9" fillId="0" borderId="20" xfId="0" applyNumberFormat="1" applyFont="1" applyBorder="1" applyAlignment="1">
      <alignment horizontal="center"/>
    </xf>
    <xf numFmtId="2" fontId="9" fillId="0" borderId="34" xfId="0" applyNumberFormat="1" applyFont="1" applyBorder="1" applyAlignment="1">
      <alignment horizontal="center"/>
    </xf>
    <xf numFmtId="2" fontId="9" fillId="0" borderId="20" xfId="0" applyNumberFormat="1" applyFont="1" applyBorder="1" applyAlignment="1">
      <alignment horizontal="center"/>
    </xf>
    <xf numFmtId="2" fontId="9" fillId="0" borderId="68" xfId="0" applyNumberFormat="1" applyFont="1" applyBorder="1" applyAlignment="1">
      <alignment horizontal="center"/>
    </xf>
    <xf numFmtId="2" fontId="19" fillId="0" borderId="34" xfId="0" applyNumberFormat="1" applyFont="1" applyBorder="1" applyAlignment="1">
      <alignment horizontal="center"/>
    </xf>
    <xf numFmtId="165" fontId="19" fillId="0" borderId="69" xfId="0" applyNumberFormat="1" applyFont="1" applyBorder="1" applyAlignment="1">
      <alignment horizontal="center"/>
    </xf>
    <xf numFmtId="165" fontId="9" fillId="0" borderId="20" xfId="0" applyNumberFormat="1" applyFont="1" applyBorder="1" applyAlignment="1">
      <alignment horizontal="center"/>
    </xf>
    <xf numFmtId="0" fontId="19" fillId="0" borderId="20" xfId="0" applyFont="1" applyBorder="1"/>
    <xf numFmtId="165" fontId="19" fillId="0" borderId="34" xfId="0" applyNumberFormat="1" applyFont="1" applyBorder="1" applyAlignment="1">
      <alignment horizontal="center"/>
    </xf>
    <xf numFmtId="0" fontId="19" fillId="0" borderId="34" xfId="0" quotePrefix="1" applyFont="1" applyBorder="1" applyAlignment="1">
      <alignment horizontal="center"/>
    </xf>
    <xf numFmtId="2" fontId="19" fillId="0" borderId="34" xfId="0" quotePrefix="1" applyNumberFormat="1" applyFont="1" applyBorder="1" applyAlignment="1">
      <alignment horizontal="center"/>
    </xf>
    <xf numFmtId="2" fontId="9" fillId="0" borderId="34" xfId="0" quotePrefix="1" applyNumberFormat="1" applyFont="1" applyBorder="1" applyAlignment="1">
      <alignment horizontal="center"/>
    </xf>
    <xf numFmtId="165" fontId="9" fillId="0" borderId="34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11" fontId="19" fillId="0" borderId="0" xfId="0" quotePrefix="1" applyNumberFormat="1" applyFont="1" applyAlignment="1">
      <alignment horizontal="right"/>
    </xf>
    <xf numFmtId="165" fontId="0" fillId="0" borderId="0" xfId="0" quotePrefix="1" applyNumberFormat="1" applyAlignment="1">
      <alignment horizontal="right"/>
    </xf>
    <xf numFmtId="166" fontId="0" fillId="0" borderId="0" xfId="0" quotePrefix="1" applyNumberFormat="1" applyAlignment="1">
      <alignment horizontal="right"/>
    </xf>
    <xf numFmtId="0" fontId="23" fillId="0" borderId="0" xfId="0" applyFont="1" applyAlignment="1">
      <alignment horizontal="right"/>
    </xf>
    <xf numFmtId="164" fontId="31" fillId="0" borderId="0" xfId="0" applyNumberFormat="1" applyFont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0" fillId="0" borderId="0" xfId="0" applyAlignment="1">
      <alignment shrinkToFit="1"/>
    </xf>
    <xf numFmtId="0" fontId="0" fillId="0" borderId="0" xfId="0"/>
    <xf numFmtId="0" fontId="29" fillId="0" borderId="0" xfId="0" applyFont="1"/>
    <xf numFmtId="0" fontId="1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1" fillId="0" borderId="29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70" xfId="0" applyBorder="1" applyAlignment="1">
      <alignment horizontal="center"/>
    </xf>
    <xf numFmtId="0" fontId="9" fillId="0" borderId="0" xfId="0" applyFont="1" applyAlignment="1">
      <alignment horizontal="left" shrinkToFit="1"/>
    </xf>
    <xf numFmtId="0" fontId="0" fillId="0" borderId="0" xfId="0" applyAlignment="1">
      <alignment shrinkToFit="1"/>
    </xf>
    <xf numFmtId="11" fontId="19" fillId="0" borderId="0" xfId="0" quotePrefix="1" applyNumberFormat="1" applyFont="1" applyAlignment="1">
      <alignment horizontal="right"/>
    </xf>
    <xf numFmtId="0" fontId="0" fillId="0" borderId="0" xfId="0" applyAlignment="1">
      <alignment horizontal="right"/>
    </xf>
    <xf numFmtId="0" fontId="9" fillId="0" borderId="0" xfId="0" applyFont="1" applyAlignment="1">
      <alignment wrapText="1"/>
    </xf>
    <xf numFmtId="0" fontId="0" fillId="0" borderId="0" xfId="0"/>
    <xf numFmtId="0" fontId="0" fillId="0" borderId="0" xfId="0" quotePrefix="1" applyAlignment="1">
      <alignment wrapText="1"/>
    </xf>
    <xf numFmtId="0" fontId="0" fillId="0" borderId="7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6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19" fillId="0" borderId="31" xfId="0" applyFont="1" applyBorder="1" applyAlignment="1">
      <alignment horizontal="left" vertical="center"/>
    </xf>
    <xf numFmtId="0" fontId="19" fillId="0" borderId="30" xfId="0" applyFont="1" applyBorder="1" applyAlignment="1">
      <alignment horizontal="left" vertical="center"/>
    </xf>
    <xf numFmtId="0" fontId="4" fillId="0" borderId="30" xfId="0" applyFont="1" applyBorder="1" applyAlignment="1">
      <alignment vertical="center"/>
    </xf>
    <xf numFmtId="11" fontId="4" fillId="0" borderId="29" xfId="0" applyNumberFormat="1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165" fontId="2" fillId="0" borderId="74" xfId="0" applyNumberFormat="1" applyFont="1" applyBorder="1" applyAlignment="1">
      <alignment horizontal="center"/>
    </xf>
    <xf numFmtId="0" fontId="19" fillId="0" borderId="75" xfId="0" applyFont="1" applyBorder="1" applyAlignment="1">
      <alignment horizontal="center"/>
    </xf>
    <xf numFmtId="165" fontId="2" fillId="0" borderId="76" xfId="0" applyNumberFormat="1" applyFont="1" applyBorder="1" applyAlignment="1">
      <alignment horizontal="center"/>
    </xf>
    <xf numFmtId="0" fontId="19" fillId="0" borderId="77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78" xfId="0" applyFont="1" applyBorder="1" applyAlignment="1">
      <alignment horizontal="center"/>
    </xf>
    <xf numFmtId="0" fontId="2" fillId="0" borderId="77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0" borderId="0" xfId="0" applyFont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0" fontId="19" fillId="0" borderId="0" xfId="0" quotePrefix="1" applyFont="1" applyBorder="1" applyAlignment="1">
      <alignment horizontal="center"/>
    </xf>
    <xf numFmtId="2" fontId="19" fillId="0" borderId="0" xfId="0" quotePrefix="1" applyNumberFormat="1" applyFont="1" applyBorder="1" applyAlignment="1">
      <alignment horizontal="center"/>
    </xf>
    <xf numFmtId="2" fontId="9" fillId="0" borderId="0" xfId="0" quotePrefix="1" applyNumberFormat="1" applyFont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164" fontId="30" fillId="6" borderId="0" xfId="0" applyNumberFormat="1" applyFont="1" applyFill="1" applyProtection="1">
      <protection locked="0"/>
    </xf>
    <xf numFmtId="0" fontId="30" fillId="6" borderId="0" xfId="0" applyFont="1" applyFill="1" applyAlignment="1" applyProtection="1">
      <alignment horizontal="right"/>
      <protection locked="0"/>
    </xf>
    <xf numFmtId="0" fontId="30" fillId="6" borderId="0" xfId="0" applyFont="1" applyFill="1" applyProtection="1">
      <protection locked="0"/>
    </xf>
    <xf numFmtId="2" fontId="30" fillId="6" borderId="0" xfId="0" applyNumberFormat="1" applyFont="1" applyFill="1" applyProtection="1">
      <protection locked="0"/>
    </xf>
    <xf numFmtId="2" fontId="30" fillId="6" borderId="0" xfId="0" applyNumberFormat="1" applyFont="1" applyFill="1" applyAlignment="1" applyProtection="1">
      <alignment horizontal="right"/>
      <protection locked="0"/>
    </xf>
    <xf numFmtId="2" fontId="30" fillId="6" borderId="0" xfId="0" applyNumberFormat="1" applyFont="1" applyFill="1" applyAlignment="1" applyProtection="1">
      <alignment horizontal="right"/>
      <protection locked="0"/>
    </xf>
  </cellXfs>
  <cellStyles count="6">
    <cellStyle name="Gevolgde hyperlink" xfId="5" builtinId="9" hidden="1"/>
    <cellStyle name="Hyperlink" xfId="4" builtinId="8" hidden="1"/>
    <cellStyle name="Komma_opmaak buizen (2)" xfId="1" xr:uid="{00000000-0005-0000-0000-000002000000}"/>
    <cellStyle name="Standaard" xfId="0" builtinId="0"/>
    <cellStyle name="Standaard_opmaak buizen (2)" xfId="2" xr:uid="{00000000-0005-0000-0000-000004000000}"/>
    <cellStyle name="Standaard_opmaak warm (2)" xfId="3" xr:uid="{00000000-0005-0000-0000-00000500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10</xdr:col>
      <xdr:colOff>42867</xdr:colOff>
      <xdr:row>5</xdr:row>
      <xdr:rowOff>152933</xdr:rowOff>
    </xdr:to>
    <xdr:pic>
      <xdr:nvPicPr>
        <xdr:cNvPr id="6993" name="Afbeelding 1" descr="logo BIS.jpg">
          <a:extLst>
            <a:ext uri="{FF2B5EF4-FFF2-40B4-BE49-F238E27FC236}">
              <a16:creationId xmlns:a16="http://schemas.microsoft.com/office/drawing/2014/main" id="{00000000-0008-0000-0000-0000511B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0400" y="0"/>
          <a:ext cx="1152000" cy="11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A607"/>
  <sheetViews>
    <sheetView showGridLines="0" tabSelected="1" zoomScale="150" zoomScaleNormal="150" zoomScalePageLayoutView="150" workbookViewId="0">
      <selection sqref="A1:H2"/>
    </sheetView>
  </sheetViews>
  <sheetFormatPr baseColWidth="10" defaultColWidth="7.1640625" defaultRowHeight="13"/>
  <cols>
    <col min="1" max="1" width="7.33203125" style="1" customWidth="1"/>
    <col min="2" max="2" width="7.33203125" style="32" customWidth="1"/>
    <col min="3" max="9" width="7.33203125" style="1" customWidth="1"/>
    <col min="10" max="11" width="7.1640625" style="1" customWidth="1"/>
    <col min="12" max="12" width="5.1640625" style="1" hidden="1" customWidth="1"/>
    <col min="13" max="14" width="4.1640625" style="1" hidden="1" customWidth="1"/>
    <col min="15" max="15" width="16.6640625" style="1" hidden="1" customWidth="1"/>
    <col min="16" max="16" width="9.83203125" style="1" hidden="1" customWidth="1"/>
    <col min="17" max="17" width="12.5" style="1" hidden="1" customWidth="1"/>
    <col min="18" max="19" width="15.6640625" style="1" hidden="1" customWidth="1"/>
    <col min="20" max="20" width="17.1640625" style="1" hidden="1" customWidth="1"/>
    <col min="21" max="21" width="17.1640625" hidden="1" customWidth="1"/>
    <col min="22" max="22" width="7.1640625" style="1" customWidth="1"/>
    <col min="23" max="23" width="4.1640625" style="1" bestFit="1" customWidth="1"/>
    <col min="24" max="24" width="16.83203125" style="1" customWidth="1"/>
    <col min="25" max="16384" width="7.1640625" style="1"/>
  </cols>
  <sheetData>
    <row r="1" spans="1:21" ht="19.5" customHeight="1">
      <c r="A1" s="383" t="s">
        <v>956</v>
      </c>
      <c r="B1" s="384"/>
      <c r="C1" s="384"/>
      <c r="D1" s="384"/>
      <c r="E1" s="384"/>
      <c r="F1" s="384"/>
      <c r="G1" s="384"/>
      <c r="H1" s="384"/>
      <c r="L1" s="1" t="s">
        <v>29</v>
      </c>
      <c r="M1" s="1">
        <v>235</v>
      </c>
      <c r="N1" s="1">
        <v>0.5</v>
      </c>
      <c r="O1" t="s">
        <v>925</v>
      </c>
      <c r="P1" t="s">
        <v>908</v>
      </c>
      <c r="Q1" s="1" t="s">
        <v>212</v>
      </c>
      <c r="R1" s="1" t="s">
        <v>479</v>
      </c>
      <c r="S1" s="1" t="s">
        <v>738</v>
      </c>
      <c r="T1" s="280" t="s">
        <v>291</v>
      </c>
      <c r="U1" s="1" t="s">
        <v>550</v>
      </c>
    </row>
    <row r="2" spans="1:21" ht="19.5" customHeight="1">
      <c r="A2" s="384"/>
      <c r="B2" s="384"/>
      <c r="C2" s="384"/>
      <c r="D2" s="384"/>
      <c r="E2" s="384"/>
      <c r="F2" s="384"/>
      <c r="G2" s="384"/>
      <c r="H2" s="384"/>
      <c r="L2" s="213" t="s">
        <v>30</v>
      </c>
      <c r="M2" s="213">
        <v>275</v>
      </c>
      <c r="N2" s="213">
        <v>0.7</v>
      </c>
      <c r="O2" s="1" t="s">
        <v>818</v>
      </c>
      <c r="P2" t="s">
        <v>909</v>
      </c>
      <c r="Q2" s="1" t="s">
        <v>213</v>
      </c>
      <c r="R2" s="1" t="s">
        <v>480</v>
      </c>
      <c r="S2" s="1" t="s">
        <v>739</v>
      </c>
      <c r="T2" s="280" t="s">
        <v>292</v>
      </c>
      <c r="U2" s="1" t="s">
        <v>551</v>
      </c>
    </row>
    <row r="3" spans="1:21">
      <c r="A3" s="33"/>
      <c r="B3" s="281"/>
      <c r="L3" s="1" t="s">
        <v>31</v>
      </c>
      <c r="M3" s="1">
        <v>355</v>
      </c>
      <c r="N3" s="282">
        <v>1</v>
      </c>
      <c r="O3" s="1" t="s">
        <v>819</v>
      </c>
      <c r="Q3" s="1" t="s">
        <v>214</v>
      </c>
      <c r="R3" s="1" t="s">
        <v>481</v>
      </c>
      <c r="S3" s="1" t="s">
        <v>740</v>
      </c>
      <c r="T3" s="280" t="s">
        <v>293</v>
      </c>
      <c r="U3" s="1" t="s">
        <v>552</v>
      </c>
    </row>
    <row r="4" spans="1:21">
      <c r="A4" s="33"/>
      <c r="B4" s="281"/>
      <c r="L4" s="1" t="s">
        <v>32</v>
      </c>
      <c r="M4" s="1">
        <v>420</v>
      </c>
      <c r="O4" s="1" t="s">
        <v>820</v>
      </c>
      <c r="Q4" s="1" t="s">
        <v>215</v>
      </c>
      <c r="R4" s="1" t="s">
        <v>482</v>
      </c>
      <c r="S4" s="1" t="s">
        <v>741</v>
      </c>
      <c r="T4" s="280" t="s">
        <v>294</v>
      </c>
      <c r="U4" s="1" t="s">
        <v>553</v>
      </c>
    </row>
    <row r="5" spans="1:21" s="213" customFormat="1">
      <c r="A5" s="253" t="s">
        <v>266</v>
      </c>
      <c r="H5" s="1"/>
      <c r="I5" s="1"/>
      <c r="J5" s="1"/>
      <c r="K5" s="1"/>
      <c r="L5" s="1" t="s">
        <v>45</v>
      </c>
      <c r="M5" s="1">
        <v>460</v>
      </c>
      <c r="N5" s="1"/>
      <c r="O5" s="1" t="s">
        <v>821</v>
      </c>
      <c r="P5" s="1"/>
      <c r="Q5" s="1" t="s">
        <v>216</v>
      </c>
      <c r="R5" s="1" t="s">
        <v>483</v>
      </c>
      <c r="S5" s="1" t="s">
        <v>742</v>
      </c>
      <c r="T5" s="280" t="s">
        <v>295</v>
      </c>
      <c r="U5" s="1" t="s">
        <v>554</v>
      </c>
    </row>
    <row r="6" spans="1:21">
      <c r="A6" s="253" t="s">
        <v>1068</v>
      </c>
      <c r="B6" s="281"/>
      <c r="C6" s="33"/>
      <c r="O6" t="s">
        <v>47</v>
      </c>
      <c r="Q6" s="1" t="s">
        <v>217</v>
      </c>
      <c r="R6" s="1" t="s">
        <v>484</v>
      </c>
      <c r="S6" s="1" t="s">
        <v>743</v>
      </c>
      <c r="T6" s="280" t="s">
        <v>296</v>
      </c>
      <c r="U6" s="1" t="s">
        <v>555</v>
      </c>
    </row>
    <row r="7" spans="1:21" ht="12" customHeight="1">
      <c r="P7"/>
      <c r="Q7" s="1" t="s">
        <v>218</v>
      </c>
      <c r="R7" s="1" t="s">
        <v>485</v>
      </c>
      <c r="S7" s="1" t="s">
        <v>744</v>
      </c>
      <c r="T7" s="280" t="s">
        <v>297</v>
      </c>
      <c r="U7" s="1" t="s">
        <v>556</v>
      </c>
    </row>
    <row r="8" spans="1:21">
      <c r="A8" s="397" t="s">
        <v>1069</v>
      </c>
      <c r="B8" s="387"/>
      <c r="C8" s="387"/>
      <c r="D8" s="387"/>
      <c r="E8" s="387"/>
      <c r="F8" s="387"/>
      <c r="G8" s="387"/>
      <c r="H8" s="387"/>
      <c r="I8" s="387"/>
      <c r="J8" s="387"/>
      <c r="K8" s="379"/>
      <c r="Q8" s="1" t="s">
        <v>219</v>
      </c>
      <c r="R8" s="1" t="s">
        <v>486</v>
      </c>
      <c r="S8" s="1" t="s">
        <v>745</v>
      </c>
      <c r="T8" s="280" t="s">
        <v>298</v>
      </c>
      <c r="U8" s="1" t="s">
        <v>557</v>
      </c>
    </row>
    <row r="9" spans="1:21">
      <c r="A9" s="387"/>
      <c r="B9" s="387"/>
      <c r="C9" s="387"/>
      <c r="D9" s="387"/>
      <c r="E9" s="387"/>
      <c r="F9" s="387"/>
      <c r="G9" s="387"/>
      <c r="H9" s="387"/>
      <c r="I9" s="387"/>
      <c r="J9" s="387"/>
      <c r="K9" s="379"/>
      <c r="Q9" s="1" t="s">
        <v>220</v>
      </c>
      <c r="R9" s="1" t="s">
        <v>243</v>
      </c>
      <c r="S9" s="1" t="s">
        <v>746</v>
      </c>
      <c r="T9" s="280" t="s">
        <v>299</v>
      </c>
      <c r="U9" s="1" t="s">
        <v>558</v>
      </c>
    </row>
    <row r="10" spans="1:21">
      <c r="A10" s="377"/>
      <c r="B10" s="377"/>
      <c r="C10" s="377"/>
      <c r="D10" s="377"/>
      <c r="E10" s="377"/>
      <c r="F10" s="377"/>
      <c r="G10" s="377"/>
      <c r="H10" s="377"/>
      <c r="I10" s="377"/>
      <c r="J10" s="377"/>
      <c r="K10" s="379"/>
      <c r="Q10" s="1" t="s">
        <v>221</v>
      </c>
      <c r="R10" s="1" t="s">
        <v>487</v>
      </c>
      <c r="S10" s="1" t="s">
        <v>747</v>
      </c>
      <c r="T10" s="280" t="s">
        <v>300</v>
      </c>
      <c r="U10" s="1" t="s">
        <v>559</v>
      </c>
    </row>
    <row r="11" spans="1:21">
      <c r="B11" s="1"/>
      <c r="Q11" s="1" t="s">
        <v>222</v>
      </c>
      <c r="R11" s="1" t="s">
        <v>268</v>
      </c>
      <c r="S11" s="1" t="s">
        <v>748</v>
      </c>
      <c r="T11" s="280" t="s">
        <v>301</v>
      </c>
      <c r="U11" s="1" t="s">
        <v>560</v>
      </c>
    </row>
    <row r="12" spans="1:21" ht="16">
      <c r="A12" s="251" t="s">
        <v>913</v>
      </c>
      <c r="B12" s="1"/>
      <c r="Q12" s="1" t="s">
        <v>223</v>
      </c>
      <c r="R12" s="1" t="s">
        <v>488</v>
      </c>
      <c r="S12" s="1" t="s">
        <v>749</v>
      </c>
      <c r="T12" s="280" t="s">
        <v>302</v>
      </c>
      <c r="U12" s="1" t="s">
        <v>561</v>
      </c>
    </row>
    <row r="13" spans="1:21">
      <c r="B13" s="1"/>
      <c r="Q13" s="1" t="s">
        <v>224</v>
      </c>
      <c r="R13" s="1" t="s">
        <v>489</v>
      </c>
      <c r="S13" s="1" t="s">
        <v>750</v>
      </c>
      <c r="T13" s="280" t="s">
        <v>303</v>
      </c>
      <c r="U13" s="1" t="s">
        <v>562</v>
      </c>
    </row>
    <row r="14" spans="1:21">
      <c r="A14" s="391" t="s">
        <v>261</v>
      </c>
      <c r="B14" s="392"/>
      <c r="C14" s="392"/>
      <c r="D14" s="392"/>
      <c r="E14" s="392"/>
      <c r="F14" s="392"/>
      <c r="G14" s="392"/>
      <c r="H14" s="392"/>
      <c r="I14" s="392"/>
      <c r="J14" s="392"/>
      <c r="K14" s="380"/>
      <c r="Q14" s="1" t="s">
        <v>225</v>
      </c>
      <c r="R14" s="1" t="s">
        <v>490</v>
      </c>
      <c r="S14" s="1" t="s">
        <v>751</v>
      </c>
      <c r="T14" s="280" t="s">
        <v>304</v>
      </c>
      <c r="U14" s="1" t="s">
        <v>563</v>
      </c>
    </row>
    <row r="15" spans="1:21">
      <c r="B15" s="1"/>
      <c r="Q15" s="1" t="s">
        <v>226</v>
      </c>
      <c r="R15" s="1" t="s">
        <v>491</v>
      </c>
      <c r="S15" s="1" t="s">
        <v>752</v>
      </c>
      <c r="T15" s="280" t="s">
        <v>305</v>
      </c>
      <c r="U15" s="1" t="s">
        <v>564</v>
      </c>
    </row>
    <row r="16" spans="1:21">
      <c r="A16" s="385" t="s">
        <v>924</v>
      </c>
      <c r="B16" s="386"/>
      <c r="C16" s="386"/>
      <c r="D16" s="386"/>
      <c r="E16" s="386"/>
      <c r="F16" s="386"/>
      <c r="G16" s="386"/>
      <c r="H16" s="386"/>
      <c r="I16" s="386"/>
      <c r="J16" s="386"/>
      <c r="K16" s="378"/>
      <c r="Q16" s="1" t="s">
        <v>227</v>
      </c>
      <c r="R16" s="1" t="s">
        <v>492</v>
      </c>
      <c r="S16" s="1" t="s">
        <v>753</v>
      </c>
      <c r="T16" s="280" t="s">
        <v>306</v>
      </c>
      <c r="U16" s="1" t="s">
        <v>565</v>
      </c>
    </row>
    <row r="17" spans="1:21">
      <c r="A17" s="386"/>
      <c r="B17" s="386"/>
      <c r="C17" s="386"/>
      <c r="D17" s="386"/>
      <c r="E17" s="386"/>
      <c r="F17" s="386"/>
      <c r="G17" s="386"/>
      <c r="H17" s="386"/>
      <c r="I17" s="386"/>
      <c r="J17" s="386"/>
      <c r="K17" s="378"/>
      <c r="Q17" s="1" t="s">
        <v>228</v>
      </c>
      <c r="R17" s="1" t="s">
        <v>269</v>
      </c>
      <c r="S17" s="1" t="s">
        <v>190</v>
      </c>
      <c r="T17" s="280" t="s">
        <v>307</v>
      </c>
      <c r="U17" s="1" t="s">
        <v>566</v>
      </c>
    </row>
    <row r="18" spans="1:21">
      <c r="A18" s="387"/>
      <c r="B18" s="387"/>
      <c r="C18" s="387"/>
      <c r="D18" s="387"/>
      <c r="E18" s="387"/>
      <c r="F18" s="387"/>
      <c r="G18" s="387"/>
      <c r="H18" s="387"/>
      <c r="I18" s="387"/>
      <c r="J18" s="387"/>
      <c r="K18" s="379"/>
      <c r="L18" s="32"/>
      <c r="Q18" s="1" t="s">
        <v>229</v>
      </c>
      <c r="R18" s="1" t="s">
        <v>493</v>
      </c>
      <c r="S18" s="1" t="s">
        <v>754</v>
      </c>
      <c r="T18" s="280" t="s">
        <v>308</v>
      </c>
      <c r="U18" s="1" t="s">
        <v>567</v>
      </c>
    </row>
    <row r="19" spans="1:21">
      <c r="C19" s="32"/>
      <c r="D19" s="218" t="s">
        <v>47</v>
      </c>
      <c r="E19" s="32"/>
      <c r="F19" s="32"/>
      <c r="G19" s="32"/>
      <c r="H19" s="32"/>
      <c r="I19" s="32"/>
      <c r="J19" s="32"/>
      <c r="K19" s="32"/>
      <c r="L19" s="32"/>
      <c r="Q19" s="1" t="s">
        <v>230</v>
      </c>
      <c r="R19" s="1" t="s">
        <v>494</v>
      </c>
      <c r="S19" s="1" t="s">
        <v>755</v>
      </c>
      <c r="T19" s="280" t="s">
        <v>309</v>
      </c>
      <c r="U19" s="1" t="s">
        <v>568</v>
      </c>
    </row>
    <row r="20" spans="1:21">
      <c r="A20" s="33" t="s">
        <v>902</v>
      </c>
      <c r="B20" s="1"/>
      <c r="D20" s="257" t="str">
        <f>IF(OR(I21&lt;0,I35&lt;0,I56&lt;0),"Er moet een positieve waarde worden ingevuld!","")</f>
        <v/>
      </c>
      <c r="E20" s="375"/>
      <c r="F20" s="375"/>
      <c r="G20" s="375"/>
      <c r="H20" s="375"/>
      <c r="I20"/>
      <c r="L20" s="32"/>
      <c r="Q20" s="1" t="s">
        <v>231</v>
      </c>
      <c r="R20" s="1" t="s">
        <v>495</v>
      </c>
      <c r="S20" s="1" t="s">
        <v>756</v>
      </c>
      <c r="T20" s="280" t="s">
        <v>310</v>
      </c>
      <c r="U20" s="1" t="s">
        <v>569</v>
      </c>
    </row>
    <row r="21" spans="1:21" ht="17">
      <c r="A21" s="213" t="s">
        <v>254</v>
      </c>
      <c r="I21" s="433">
        <v>500</v>
      </c>
      <c r="J21" s="32" t="s">
        <v>181</v>
      </c>
      <c r="K21" s="32"/>
      <c r="L21" s="32"/>
      <c r="Q21" s="1" t="s">
        <v>232</v>
      </c>
      <c r="R21" s="1" t="s">
        <v>496</v>
      </c>
      <c r="S21" s="1" t="s">
        <v>757</v>
      </c>
      <c r="T21" s="280" t="s">
        <v>311</v>
      </c>
      <c r="U21" s="1" t="s">
        <v>570</v>
      </c>
    </row>
    <row r="22" spans="1:21">
      <c r="L22" s="32"/>
      <c r="Q22" s="1" t="s">
        <v>233</v>
      </c>
      <c r="R22" s="1" t="s">
        <v>270</v>
      </c>
      <c r="S22" s="1" t="s">
        <v>191</v>
      </c>
      <c r="T22" s="280" t="s">
        <v>312</v>
      </c>
      <c r="U22" s="1" t="s">
        <v>571</v>
      </c>
    </row>
    <row r="23" spans="1:21" s="283" customFormat="1">
      <c r="A23" s="1"/>
      <c r="B23" s="32"/>
      <c r="C23" s="1"/>
      <c r="D23" s="1"/>
      <c r="E23" s="1"/>
      <c r="F23" s="1"/>
      <c r="G23" s="1"/>
      <c r="H23" t="s">
        <v>47</v>
      </c>
      <c r="I23" s="1"/>
      <c r="J23" s="1"/>
      <c r="K23" s="1"/>
      <c r="L23" s="32"/>
      <c r="Q23" s="1" t="s">
        <v>234</v>
      </c>
      <c r="R23" s="1" t="s">
        <v>497</v>
      </c>
      <c r="S23" s="1" t="s">
        <v>758</v>
      </c>
      <c r="T23" s="280" t="s">
        <v>313</v>
      </c>
      <c r="U23" s="1" t="s">
        <v>572</v>
      </c>
    </row>
    <row r="24" spans="1:21">
      <c r="A24" s="33" t="s">
        <v>903</v>
      </c>
      <c r="L24" s="32"/>
      <c r="Q24" s="1" t="s">
        <v>235</v>
      </c>
      <c r="R24" s="1" t="s">
        <v>498</v>
      </c>
      <c r="S24" s="1" t="s">
        <v>759</v>
      </c>
      <c r="T24" s="280" t="s">
        <v>314</v>
      </c>
      <c r="U24" s="1" t="s">
        <v>573</v>
      </c>
    </row>
    <row r="25" spans="1:21" ht="15">
      <c r="A25" t="s">
        <v>912</v>
      </c>
      <c r="I25" s="433">
        <v>-100</v>
      </c>
      <c r="J25" s="32" t="s">
        <v>267</v>
      </c>
      <c r="K25" s="32"/>
      <c r="L25" s="32"/>
      <c r="R25" s="1" t="s">
        <v>499</v>
      </c>
      <c r="S25" s="1" t="s">
        <v>760</v>
      </c>
      <c r="T25" s="280" t="s">
        <v>315</v>
      </c>
      <c r="U25" s="1" t="s">
        <v>574</v>
      </c>
    </row>
    <row r="26" spans="1:21">
      <c r="A26" t="s">
        <v>1062</v>
      </c>
      <c r="L26" s="32"/>
      <c r="Q26" s="1" t="s">
        <v>876</v>
      </c>
      <c r="R26" s="1" t="s">
        <v>500</v>
      </c>
      <c r="S26" s="1" t="s">
        <v>761</v>
      </c>
      <c r="T26" s="280" t="s">
        <v>316</v>
      </c>
      <c r="U26" s="1" t="s">
        <v>575</v>
      </c>
    </row>
    <row r="27" spans="1:21">
      <c r="A27" t="s">
        <v>1067</v>
      </c>
      <c r="L27" s="32"/>
      <c r="Q27" s="1" t="s">
        <v>877</v>
      </c>
      <c r="R27" s="1" t="s">
        <v>271</v>
      </c>
      <c r="S27" s="1" t="s">
        <v>762</v>
      </c>
      <c r="T27" s="280" t="s">
        <v>317</v>
      </c>
      <c r="U27" s="1" t="s">
        <v>576</v>
      </c>
    </row>
    <row r="28" spans="1:21" ht="15">
      <c r="A28" t="s">
        <v>911</v>
      </c>
      <c r="I28" s="433">
        <v>-80</v>
      </c>
      <c r="J28" s="32" t="s">
        <v>267</v>
      </c>
      <c r="K28" s="32"/>
      <c r="Q28" s="1" t="s">
        <v>878</v>
      </c>
      <c r="R28" s="1" t="s">
        <v>501</v>
      </c>
      <c r="S28" s="1" t="s">
        <v>192</v>
      </c>
      <c r="T28" s="280" t="s">
        <v>318</v>
      </c>
      <c r="U28" s="1" t="s">
        <v>577</v>
      </c>
    </row>
    <row r="29" spans="1:21" ht="15">
      <c r="A29" t="s">
        <v>905</v>
      </c>
      <c r="H29" s="214" t="str">
        <f>IF(ABS(I28)&gt;ABS(I25),"De eindmomenten zijn verkeerd ingevoerd!","")</f>
        <v/>
      </c>
      <c r="I29" s="215">
        <f>IF(I25=0,1,IF(ABS(I28)&gt;ABS(I25),"######",I28/I25))</f>
        <v>0.8</v>
      </c>
      <c r="J29" s="32"/>
      <c r="K29" s="32"/>
      <c r="Q29" s="1" t="s">
        <v>879</v>
      </c>
      <c r="R29" s="1" t="s">
        <v>502</v>
      </c>
      <c r="S29" s="1" t="s">
        <v>140</v>
      </c>
      <c r="T29" s="280" t="s">
        <v>319</v>
      </c>
      <c r="U29" s="1" t="s">
        <v>578</v>
      </c>
    </row>
    <row r="30" spans="1:21" ht="17">
      <c r="A30" s="216" t="s">
        <v>906</v>
      </c>
      <c r="I30" s="217">
        <f>1.8-0.7*I29</f>
        <v>1.2400000000000002</v>
      </c>
      <c r="J30" s="32"/>
      <c r="K30" s="32"/>
      <c r="Q30" s="1" t="s">
        <v>880</v>
      </c>
      <c r="R30" s="1" t="s">
        <v>503</v>
      </c>
      <c r="S30" s="1" t="s">
        <v>763</v>
      </c>
      <c r="T30" s="280" t="s">
        <v>320</v>
      </c>
      <c r="U30" s="1" t="s">
        <v>579</v>
      </c>
    </row>
    <row r="31" spans="1:21">
      <c r="Q31" s="1" t="s">
        <v>881</v>
      </c>
      <c r="R31" s="1" t="s">
        <v>272</v>
      </c>
      <c r="S31" s="1" t="s">
        <v>764</v>
      </c>
      <c r="T31" s="280" t="s">
        <v>321</v>
      </c>
      <c r="U31" s="1" t="s">
        <v>580</v>
      </c>
    </row>
    <row r="32" spans="1:21">
      <c r="A32" t="s">
        <v>907</v>
      </c>
      <c r="H32" s="434" t="s">
        <v>908</v>
      </c>
      <c r="I32" s="435"/>
      <c r="Q32" s="1" t="s">
        <v>882</v>
      </c>
      <c r="R32" s="1" t="s">
        <v>273</v>
      </c>
      <c r="S32" s="1" t="s">
        <v>765</v>
      </c>
      <c r="T32" s="280" t="s">
        <v>322</v>
      </c>
      <c r="U32" s="1" t="s">
        <v>581</v>
      </c>
    </row>
    <row r="33" spans="1:21" ht="15">
      <c r="A33" s="216" t="s">
        <v>910</v>
      </c>
      <c r="B33" s="218" t="s">
        <v>47</v>
      </c>
      <c r="H33" s="219"/>
      <c r="I33" s="220">
        <f>IF(H32="driehoekig",1.4,1.3)</f>
        <v>1.3</v>
      </c>
      <c r="J33" s="32"/>
      <c r="K33" s="32"/>
      <c r="Q33" s="1" t="s">
        <v>883</v>
      </c>
      <c r="R33" s="1" t="s">
        <v>504</v>
      </c>
      <c r="S33" s="1" t="s">
        <v>766</v>
      </c>
      <c r="T33" s="280" t="s">
        <v>323</v>
      </c>
      <c r="U33" s="1" t="s">
        <v>582</v>
      </c>
    </row>
    <row r="34" spans="1:21">
      <c r="A34" s="216"/>
      <c r="B34" s="218" t="s">
        <v>47</v>
      </c>
      <c r="I34" s="220"/>
      <c r="J34" s="32"/>
      <c r="K34" s="32"/>
      <c r="Q34" s="1" t="s">
        <v>884</v>
      </c>
      <c r="R34" s="1" t="s">
        <v>505</v>
      </c>
      <c r="S34" s="1" t="s">
        <v>767</v>
      </c>
      <c r="T34" s="280" t="s">
        <v>324</v>
      </c>
      <c r="U34" s="1" t="s">
        <v>583</v>
      </c>
    </row>
    <row r="35" spans="1:21" ht="15">
      <c r="A35" s="280" t="s">
        <v>1063</v>
      </c>
      <c r="B35" s="218"/>
      <c r="I35" s="433">
        <v>50</v>
      </c>
      <c r="J35" s="32" t="s">
        <v>267</v>
      </c>
      <c r="K35" s="32"/>
      <c r="Q35" s="1" t="s">
        <v>885</v>
      </c>
      <c r="R35" s="1" t="s">
        <v>506</v>
      </c>
      <c r="S35" s="1" t="s">
        <v>768</v>
      </c>
      <c r="T35" s="280" t="s">
        <v>325</v>
      </c>
      <c r="U35" s="1" t="s">
        <v>584</v>
      </c>
    </row>
    <row r="36" spans="1:21" ht="15">
      <c r="A36" s="280" t="s">
        <v>1064</v>
      </c>
      <c r="B36" s="218"/>
      <c r="C36" s="253" t="str">
        <f>IF('My,max'!B77="--","","(op"&amp;" "&amp;'My,max'!B77&amp;" L vanaf links)")</f>
        <v>(op 0,55 L vanaf links)</v>
      </c>
      <c r="I36" s="256">
        <f>'My,max'!B74</f>
        <v>-39.499999999999986</v>
      </c>
      <c r="J36" s="32" t="s">
        <v>267</v>
      </c>
      <c r="K36" s="32"/>
      <c r="Q36" s="1" t="s">
        <v>886</v>
      </c>
      <c r="R36" s="1" t="s">
        <v>507</v>
      </c>
      <c r="S36" s="1" t="s">
        <v>769</v>
      </c>
      <c r="T36" s="280" t="s">
        <v>326</v>
      </c>
      <c r="U36" s="1" t="s">
        <v>585</v>
      </c>
    </row>
    <row r="37" spans="1:21" ht="15">
      <c r="A37" s="221" t="s">
        <v>921</v>
      </c>
      <c r="B37" s="218" t="s">
        <v>47</v>
      </c>
      <c r="D37" t="s">
        <v>47</v>
      </c>
      <c r="I37" s="222">
        <f>'My,max'!B76</f>
        <v>100</v>
      </c>
      <c r="J37" s="32" t="s">
        <v>267</v>
      </c>
      <c r="K37" s="32"/>
      <c r="Q37" s="1" t="s">
        <v>887</v>
      </c>
      <c r="R37" s="1" t="s">
        <v>274</v>
      </c>
      <c r="S37" s="1" t="s">
        <v>141</v>
      </c>
      <c r="T37" s="280" t="s">
        <v>327</v>
      </c>
      <c r="U37" s="1" t="s">
        <v>586</v>
      </c>
    </row>
    <row r="38" spans="1:21" ht="15">
      <c r="A38" s="216" t="s">
        <v>250</v>
      </c>
      <c r="I38" s="223">
        <f>IF(I37=0,1.8,I30+I35/I37*(I33-I30))</f>
        <v>1.27</v>
      </c>
      <c r="J38" s="32"/>
      <c r="K38" s="32"/>
      <c r="Q38" s="1" t="s">
        <v>888</v>
      </c>
      <c r="R38" s="1" t="s">
        <v>508</v>
      </c>
      <c r="S38" s="1" t="s">
        <v>770</v>
      </c>
      <c r="T38" s="280" t="s">
        <v>328</v>
      </c>
      <c r="U38" s="1" t="s">
        <v>587</v>
      </c>
    </row>
    <row r="39" spans="1:21">
      <c r="A39"/>
      <c r="H39" s="224"/>
      <c r="I39" s="32"/>
      <c r="J39"/>
      <c r="K39" s="381"/>
      <c r="Q39" s="1" t="s">
        <v>889</v>
      </c>
      <c r="R39" s="1" t="s">
        <v>509</v>
      </c>
      <c r="S39" s="1" t="s">
        <v>771</v>
      </c>
      <c r="T39" s="280" t="s">
        <v>329</v>
      </c>
      <c r="U39" s="1" t="s">
        <v>588</v>
      </c>
    </row>
    <row r="40" spans="1:21" ht="15">
      <c r="A40" t="s">
        <v>922</v>
      </c>
      <c r="I40" s="222">
        <f>'My,max'!B75</f>
        <v>100</v>
      </c>
      <c r="J40" s="218" t="s">
        <v>267</v>
      </c>
      <c r="K40" s="218"/>
      <c r="Q40" s="1" t="s">
        <v>890</v>
      </c>
      <c r="R40" s="1" t="s">
        <v>510</v>
      </c>
      <c r="S40" s="1" t="s">
        <v>772</v>
      </c>
      <c r="T40" s="280" t="s">
        <v>330</v>
      </c>
      <c r="U40" s="1" t="s">
        <v>589</v>
      </c>
    </row>
    <row r="41" spans="1:21">
      <c r="Q41" s="1" t="s">
        <v>891</v>
      </c>
      <c r="R41" s="1" t="s">
        <v>275</v>
      </c>
      <c r="S41" s="1" t="s">
        <v>773</v>
      </c>
      <c r="T41" s="280" t="s">
        <v>331</v>
      </c>
      <c r="U41" s="1" t="s">
        <v>590</v>
      </c>
    </row>
    <row r="42" spans="1:21">
      <c r="Q42" s="1" t="s">
        <v>892</v>
      </c>
      <c r="R42" s="1" t="s">
        <v>276</v>
      </c>
      <c r="S42" s="1" t="s">
        <v>774</v>
      </c>
      <c r="T42" s="280" t="s">
        <v>332</v>
      </c>
      <c r="U42" s="1" t="s">
        <v>591</v>
      </c>
    </row>
    <row r="43" spans="1:21">
      <c r="A43" s="33" t="s">
        <v>904</v>
      </c>
      <c r="Q43" s="1" t="s">
        <v>893</v>
      </c>
      <c r="R43" s="1" t="s">
        <v>511</v>
      </c>
      <c r="S43" s="1" t="s">
        <v>775</v>
      </c>
      <c r="T43" s="280" t="s">
        <v>333</v>
      </c>
      <c r="U43" s="1" t="s">
        <v>592</v>
      </c>
    </row>
    <row r="44" spans="1:21" ht="15">
      <c r="A44" t="s">
        <v>914</v>
      </c>
      <c r="I44" s="433">
        <v>50</v>
      </c>
      <c r="J44" s="32" t="s">
        <v>267</v>
      </c>
      <c r="K44" s="32"/>
      <c r="Q44" s="1" t="s">
        <v>894</v>
      </c>
      <c r="R44" s="1" t="s">
        <v>512</v>
      </c>
      <c r="S44" s="1" t="s">
        <v>776</v>
      </c>
      <c r="T44" s="280" t="s">
        <v>334</v>
      </c>
      <c r="U44" s="1" t="s">
        <v>593</v>
      </c>
    </row>
    <row r="45" spans="1:21">
      <c r="A45" t="s">
        <v>1062</v>
      </c>
      <c r="Q45" s="1" t="s">
        <v>895</v>
      </c>
      <c r="R45" s="1" t="s">
        <v>513</v>
      </c>
      <c r="S45" s="1" t="s">
        <v>777</v>
      </c>
      <c r="T45" s="280" t="s">
        <v>335</v>
      </c>
      <c r="U45" s="1" t="s">
        <v>594</v>
      </c>
    </row>
    <row r="46" spans="1:21">
      <c r="A46" t="s">
        <v>1061</v>
      </c>
      <c r="Q46" s="1" t="s">
        <v>896</v>
      </c>
      <c r="R46" s="1" t="s">
        <v>514</v>
      </c>
      <c r="S46" s="1" t="s">
        <v>778</v>
      </c>
      <c r="T46" s="280" t="s">
        <v>336</v>
      </c>
      <c r="U46" s="1" t="s">
        <v>595</v>
      </c>
    </row>
    <row r="47" spans="1:21" ht="15">
      <c r="A47" t="s">
        <v>915</v>
      </c>
      <c r="I47" s="433">
        <v>0</v>
      </c>
      <c r="J47" s="32" t="s">
        <v>267</v>
      </c>
      <c r="K47" s="32"/>
      <c r="Q47" s="1" t="s">
        <v>897</v>
      </c>
      <c r="R47" s="1" t="s">
        <v>515</v>
      </c>
      <c r="S47" s="1" t="s">
        <v>779</v>
      </c>
      <c r="T47" s="280" t="s">
        <v>337</v>
      </c>
      <c r="U47" s="1" t="s">
        <v>596</v>
      </c>
    </row>
    <row r="48" spans="1:21" ht="15">
      <c r="A48" t="s">
        <v>916</v>
      </c>
      <c r="H48" s="214" t="str">
        <f>IF(ABS(I47)&gt;ABS(I44),"De eindmomenten zijn verkeerd ingevoerd!","")</f>
        <v/>
      </c>
      <c r="I48" s="215">
        <f>IF(I44=0,1,IF(ABS(I47)&gt;ABS(I44),"######",I47/I44))</f>
        <v>0</v>
      </c>
      <c r="J48" s="32"/>
      <c r="K48" s="32"/>
      <c r="Q48" s="1" t="s">
        <v>898</v>
      </c>
      <c r="R48" s="1" t="s">
        <v>516</v>
      </c>
      <c r="S48" s="1" t="s">
        <v>780</v>
      </c>
      <c r="T48" s="280" t="s">
        <v>338</v>
      </c>
      <c r="U48" s="1" t="s">
        <v>597</v>
      </c>
    </row>
    <row r="49" spans="1:21" ht="17">
      <c r="A49" s="216" t="s">
        <v>917</v>
      </c>
      <c r="I49" s="217">
        <f>1.8-0.7*I48</f>
        <v>1.8</v>
      </c>
      <c r="J49" s="32"/>
      <c r="K49" s="32"/>
      <c r="Q49" s="1" t="s">
        <v>899</v>
      </c>
      <c r="R49" s="1" t="s">
        <v>517</v>
      </c>
      <c r="S49" s="1" t="s">
        <v>781</v>
      </c>
      <c r="T49" s="280" t="s">
        <v>339</v>
      </c>
      <c r="U49" s="1" t="s">
        <v>598</v>
      </c>
    </row>
    <row r="50" spans="1:21">
      <c r="R50" s="1" t="s">
        <v>277</v>
      </c>
      <c r="S50" s="1" t="s">
        <v>782</v>
      </c>
      <c r="T50" s="280" t="s">
        <v>340</v>
      </c>
      <c r="U50" s="1" t="s">
        <v>599</v>
      </c>
    </row>
    <row r="51" spans="1:21">
      <c r="A51" t="s">
        <v>907</v>
      </c>
      <c r="H51" s="434" t="s">
        <v>908</v>
      </c>
      <c r="I51" s="435"/>
      <c r="Q51" s="1" t="s">
        <v>236</v>
      </c>
      <c r="R51" s="1" t="s">
        <v>278</v>
      </c>
      <c r="S51" s="1" t="s">
        <v>783</v>
      </c>
      <c r="T51" s="280" t="s">
        <v>341</v>
      </c>
      <c r="U51" s="1" t="s">
        <v>600</v>
      </c>
    </row>
    <row r="52" spans="1:21" ht="15">
      <c r="A52" s="216" t="s">
        <v>918</v>
      </c>
      <c r="B52" s="218" t="s">
        <v>47</v>
      </c>
      <c r="H52" s="219"/>
      <c r="I52" s="220">
        <f>IF(H51="driehoekig",1.4,1.3)</f>
        <v>1.3</v>
      </c>
      <c r="J52" s="32"/>
      <c r="K52" s="32"/>
      <c r="Q52" s="1" t="s">
        <v>61</v>
      </c>
      <c r="R52" s="1" t="s">
        <v>518</v>
      </c>
      <c r="S52" s="1" t="s">
        <v>784</v>
      </c>
      <c r="T52" s="280" t="s">
        <v>342</v>
      </c>
      <c r="U52" s="1" t="s">
        <v>601</v>
      </c>
    </row>
    <row r="53" spans="1:21">
      <c r="A53" s="216"/>
      <c r="B53" s="218" t="s">
        <v>47</v>
      </c>
      <c r="I53" s="220"/>
      <c r="J53" s="32"/>
      <c r="K53" s="32"/>
      <c r="Q53" s="1" t="s">
        <v>62</v>
      </c>
      <c r="R53" s="1" t="s">
        <v>519</v>
      </c>
      <c r="S53" s="1" t="s">
        <v>785</v>
      </c>
      <c r="T53" s="280" t="s">
        <v>343</v>
      </c>
      <c r="U53" s="1" t="s">
        <v>602</v>
      </c>
    </row>
    <row r="54" spans="1:21" hidden="1">
      <c r="Q54" s="1" t="s">
        <v>63</v>
      </c>
      <c r="R54" s="1" t="s">
        <v>520</v>
      </c>
      <c r="S54" s="1" t="s">
        <v>786</v>
      </c>
      <c r="T54" s="280" t="s">
        <v>344</v>
      </c>
      <c r="U54" s="1" t="s">
        <v>603</v>
      </c>
    </row>
    <row r="55" spans="1:21">
      <c r="Q55" s="1" t="s">
        <v>64</v>
      </c>
      <c r="R55" s="1" t="s">
        <v>521</v>
      </c>
      <c r="S55" s="1" t="s">
        <v>787</v>
      </c>
      <c r="T55" s="280" t="s">
        <v>345</v>
      </c>
      <c r="U55" s="1" t="s">
        <v>604</v>
      </c>
    </row>
    <row r="56" spans="1:21" ht="15">
      <c r="A56" s="280" t="s">
        <v>1066</v>
      </c>
      <c r="B56" s="218"/>
      <c r="I56" s="433">
        <v>0</v>
      </c>
      <c r="J56" s="32" t="s">
        <v>267</v>
      </c>
      <c r="K56" s="32"/>
      <c r="Q56" s="1" t="s">
        <v>65</v>
      </c>
      <c r="R56" s="1" t="s">
        <v>522</v>
      </c>
      <c r="S56" s="1" t="s">
        <v>788</v>
      </c>
      <c r="T56" s="280" t="s">
        <v>346</v>
      </c>
      <c r="U56" s="1" t="s">
        <v>605</v>
      </c>
    </row>
    <row r="57" spans="1:21" ht="15">
      <c r="A57" s="280" t="s">
        <v>1065</v>
      </c>
      <c r="B57" s="218"/>
      <c r="C57" s="253" t="str">
        <f>IF('Mz,max'!B77="--","","(op"&amp;" "&amp;'Mz,max'!B77&amp;" L vanaf links)")</f>
        <v/>
      </c>
      <c r="I57" s="256" t="str">
        <f>'Mz,max'!B74</f>
        <v>--</v>
      </c>
      <c r="J57" s="32" t="s">
        <v>267</v>
      </c>
      <c r="K57" s="32"/>
      <c r="Q57" s="1" t="s">
        <v>66</v>
      </c>
      <c r="R57" s="1" t="s">
        <v>279</v>
      </c>
      <c r="S57" s="1" t="s">
        <v>789</v>
      </c>
      <c r="T57" s="280" t="s">
        <v>347</v>
      </c>
      <c r="U57" s="1" t="s">
        <v>606</v>
      </c>
    </row>
    <row r="58" spans="1:21" ht="15">
      <c r="A58" s="221" t="s">
        <v>920</v>
      </c>
      <c r="B58" s="218" t="s">
        <v>47</v>
      </c>
      <c r="I58" s="222">
        <f>'Mz,max'!B76</f>
        <v>50</v>
      </c>
      <c r="J58" s="32" t="s">
        <v>267</v>
      </c>
      <c r="K58" s="32"/>
      <c r="Q58" s="1" t="s">
        <v>237</v>
      </c>
      <c r="R58" s="1" t="s">
        <v>523</v>
      </c>
      <c r="S58" s="1" t="s">
        <v>790</v>
      </c>
      <c r="T58" s="280" t="s">
        <v>348</v>
      </c>
      <c r="U58" s="1" t="s">
        <v>607</v>
      </c>
    </row>
    <row r="59" spans="1:21" ht="15">
      <c r="A59" s="216" t="s">
        <v>919</v>
      </c>
      <c r="I59" s="223">
        <f>IF(I58=0,1.8,I49+I56/I58*(I52-I49))</f>
        <v>1.8</v>
      </c>
      <c r="J59" s="32"/>
      <c r="K59" s="32"/>
      <c r="Q59" s="1" t="s">
        <v>238</v>
      </c>
      <c r="R59" s="1" t="s">
        <v>524</v>
      </c>
      <c r="S59" s="1" t="s">
        <v>791</v>
      </c>
      <c r="T59" s="280" t="s">
        <v>349</v>
      </c>
      <c r="U59" s="1" t="s">
        <v>608</v>
      </c>
    </row>
    <row r="60" spans="1:21">
      <c r="A60"/>
      <c r="H60" s="224"/>
      <c r="I60" s="32"/>
      <c r="J60"/>
      <c r="K60" s="381"/>
      <c r="Q60" s="1" t="s">
        <v>239</v>
      </c>
      <c r="R60" s="1" t="s">
        <v>525</v>
      </c>
      <c r="S60" s="1" t="s">
        <v>792</v>
      </c>
      <c r="T60" s="280" t="s">
        <v>350</v>
      </c>
      <c r="U60" s="1" t="s">
        <v>609</v>
      </c>
    </row>
    <row r="61" spans="1:21" ht="15">
      <c r="A61" t="s">
        <v>923</v>
      </c>
      <c r="I61" s="376">
        <f>'Mz,max'!B75</f>
        <v>50</v>
      </c>
      <c r="J61" s="218" t="s">
        <v>267</v>
      </c>
      <c r="K61" s="218"/>
      <c r="Q61" s="1" t="s">
        <v>195</v>
      </c>
      <c r="R61" s="1" t="s">
        <v>526</v>
      </c>
      <c r="S61" s="1" t="s">
        <v>793</v>
      </c>
      <c r="T61" s="280" t="s">
        <v>351</v>
      </c>
      <c r="U61" s="1" t="s">
        <v>610</v>
      </c>
    </row>
    <row r="62" spans="1:21">
      <c r="Q62" s="1" t="s">
        <v>196</v>
      </c>
      <c r="R62" s="1" t="s">
        <v>280</v>
      </c>
      <c r="S62" s="1" t="s">
        <v>794</v>
      </c>
      <c r="T62" s="280" t="s">
        <v>352</v>
      </c>
      <c r="U62" s="1" t="s">
        <v>611</v>
      </c>
    </row>
    <row r="63" spans="1:21">
      <c r="Q63" s="1" t="s">
        <v>197</v>
      </c>
      <c r="R63" s="1" t="s">
        <v>527</v>
      </c>
      <c r="S63" s="1" t="s">
        <v>795</v>
      </c>
      <c r="T63" s="280" t="s">
        <v>353</v>
      </c>
      <c r="U63" s="1" t="s">
        <v>612</v>
      </c>
    </row>
    <row r="64" spans="1:21" ht="16">
      <c r="A64" s="251" t="s">
        <v>248</v>
      </c>
      <c r="C64"/>
      <c r="D64"/>
      <c r="E64"/>
      <c r="F64"/>
      <c r="G64"/>
      <c r="H64"/>
      <c r="Q64" s="1" t="s">
        <v>198</v>
      </c>
      <c r="R64" s="1" t="s">
        <v>528</v>
      </c>
      <c r="S64" s="1" t="s">
        <v>796</v>
      </c>
      <c r="T64" s="280" t="s">
        <v>354</v>
      </c>
      <c r="U64" s="1" t="s">
        <v>613</v>
      </c>
    </row>
    <row r="65" spans="1:21">
      <c r="A65" s="44"/>
      <c r="B65" s="284"/>
      <c r="C65" s="44"/>
      <c r="D65" s="44"/>
      <c r="E65" s="44"/>
      <c r="F65" s="44"/>
      <c r="G65" s="44"/>
      <c r="H65" s="44"/>
      <c r="Q65" s="1" t="s">
        <v>199</v>
      </c>
      <c r="R65" s="1" t="s">
        <v>529</v>
      </c>
      <c r="S65" s="1" t="s">
        <v>797</v>
      </c>
      <c r="T65" s="280" t="s">
        <v>355</v>
      </c>
      <c r="U65" s="1" t="s">
        <v>614</v>
      </c>
    </row>
    <row r="66" spans="1:21" ht="14">
      <c r="A66" s="44" t="s">
        <v>2</v>
      </c>
      <c r="B66" s="44"/>
      <c r="C66" s="44"/>
      <c r="D66" s="44"/>
      <c r="E66" s="44"/>
      <c r="F66" s="44"/>
      <c r="G66" s="436">
        <v>10</v>
      </c>
      <c r="H66" s="44" t="s">
        <v>240</v>
      </c>
      <c r="Q66" s="1" t="s">
        <v>200</v>
      </c>
      <c r="R66" s="1" t="s">
        <v>530</v>
      </c>
      <c r="S66" s="1" t="s">
        <v>798</v>
      </c>
      <c r="T66" s="280" t="s">
        <v>356</v>
      </c>
      <c r="U66" s="1" t="s">
        <v>615</v>
      </c>
    </row>
    <row r="67" spans="1:21" ht="15">
      <c r="A67" s="44" t="s">
        <v>3</v>
      </c>
      <c r="B67" s="284"/>
      <c r="C67" s="44"/>
      <c r="D67" s="44"/>
      <c r="E67" s="44"/>
      <c r="F67" s="44"/>
      <c r="G67" s="436">
        <v>2</v>
      </c>
      <c r="H67" s="44" t="s">
        <v>240</v>
      </c>
      <c r="Q67" s="1" t="s">
        <v>201</v>
      </c>
      <c r="R67" s="1" t="s">
        <v>281</v>
      </c>
      <c r="S67" s="1" t="s">
        <v>799</v>
      </c>
      <c r="T67" s="280" t="s">
        <v>357</v>
      </c>
      <c r="U67" s="1" t="s">
        <v>616</v>
      </c>
    </row>
    <row r="68" spans="1:21">
      <c r="A68" s="44"/>
      <c r="B68" s="284"/>
      <c r="C68" s="44"/>
      <c r="D68" s="44"/>
      <c r="E68" s="44"/>
      <c r="F68" s="44"/>
      <c r="G68" s="44"/>
      <c r="H68" s="44"/>
      <c r="I68"/>
      <c r="J68"/>
      <c r="K68" s="381"/>
      <c r="Q68" s="1" t="s">
        <v>202</v>
      </c>
      <c r="R68" s="1" t="s">
        <v>531</v>
      </c>
      <c r="S68" s="1" t="s">
        <v>800</v>
      </c>
      <c r="T68" s="280" t="s">
        <v>358</v>
      </c>
      <c r="U68" s="1" t="s">
        <v>617</v>
      </c>
    </row>
    <row r="69" spans="1:21">
      <c r="A69" s="44" t="s">
        <v>4</v>
      </c>
      <c r="B69" s="284"/>
      <c r="C69" s="44"/>
      <c r="D69" s="44"/>
      <c r="E69" s="44"/>
      <c r="F69" s="44"/>
      <c r="G69" s="44"/>
      <c r="H69" s="44"/>
      <c r="I69" s="213"/>
      <c r="J69" s="283"/>
      <c r="K69" s="283"/>
      <c r="Q69" s="1" t="s">
        <v>43</v>
      </c>
      <c r="R69" s="1" t="s">
        <v>532</v>
      </c>
      <c r="S69" s="1" t="s">
        <v>801</v>
      </c>
      <c r="T69" s="280" t="s">
        <v>359</v>
      </c>
      <c r="U69" s="1" t="s">
        <v>618</v>
      </c>
    </row>
    <row r="70" spans="1:21" ht="15">
      <c r="A70" s="285" t="s">
        <v>255</v>
      </c>
      <c r="B70" s="1"/>
      <c r="G70" s="436">
        <v>10</v>
      </c>
      <c r="H70" s="32" t="s">
        <v>240</v>
      </c>
      <c r="I70" s="213"/>
      <c r="J70" s="283"/>
      <c r="K70" s="283"/>
      <c r="Q70" s="1" t="s">
        <v>44</v>
      </c>
      <c r="R70" s="1" t="s">
        <v>282</v>
      </c>
      <c r="S70" s="1" t="s">
        <v>802</v>
      </c>
      <c r="T70" s="280" t="s">
        <v>360</v>
      </c>
      <c r="U70" s="1" t="s">
        <v>619</v>
      </c>
    </row>
    <row r="71" spans="1:21">
      <c r="A71" s="286" t="s">
        <v>259</v>
      </c>
      <c r="B71" s="1"/>
      <c r="C71" s="287"/>
      <c r="G71" s="433">
        <v>1</v>
      </c>
      <c r="H71" s="283"/>
      <c r="I71" s="283"/>
      <c r="J71" s="283"/>
      <c r="K71" s="283"/>
      <c r="Q71" s="1" t="s">
        <v>53</v>
      </c>
      <c r="R71" s="1" t="s">
        <v>533</v>
      </c>
      <c r="S71" s="1" t="s">
        <v>803</v>
      </c>
      <c r="T71" s="280" t="s">
        <v>361</v>
      </c>
      <c r="U71" s="1" t="s">
        <v>620</v>
      </c>
    </row>
    <row r="72" spans="1:21" ht="17">
      <c r="A72" s="285" t="s">
        <v>256</v>
      </c>
      <c r="B72" s="1"/>
      <c r="G72" s="288">
        <f>G70*G71</f>
        <v>10</v>
      </c>
      <c r="H72" s="32" t="s">
        <v>240</v>
      </c>
      <c r="I72" s="283"/>
      <c r="J72" s="283"/>
      <c r="K72" s="283"/>
      <c r="Q72" s="1" t="s">
        <v>54</v>
      </c>
      <c r="R72" s="1" t="s">
        <v>534</v>
      </c>
      <c r="S72" s="1" t="s">
        <v>804</v>
      </c>
      <c r="T72" s="280" t="s">
        <v>362</v>
      </c>
      <c r="U72" s="1" t="s">
        <v>621</v>
      </c>
    </row>
    <row r="73" spans="1:21">
      <c r="A73" s="283"/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Q73" s="1" t="s">
        <v>55</v>
      </c>
      <c r="R73" s="1" t="s">
        <v>535</v>
      </c>
      <c r="S73" s="1" t="s">
        <v>142</v>
      </c>
      <c r="T73" s="280" t="s">
        <v>363</v>
      </c>
      <c r="U73" s="1" t="s">
        <v>622</v>
      </c>
    </row>
    <row r="74" spans="1:21">
      <c r="A74" s="1" t="s">
        <v>257</v>
      </c>
      <c r="B74" s="283"/>
      <c r="C74" s="283"/>
      <c r="D74" s="283"/>
      <c r="E74" s="283"/>
      <c r="F74" s="283"/>
      <c r="G74" s="283"/>
      <c r="I74" s="283"/>
      <c r="J74" s="283"/>
      <c r="K74" s="283"/>
      <c r="Q74" s="1" t="s">
        <v>56</v>
      </c>
      <c r="R74" s="1" t="s">
        <v>536</v>
      </c>
      <c r="S74" s="1" t="s">
        <v>805</v>
      </c>
      <c r="T74" s="280" t="s">
        <v>364</v>
      </c>
      <c r="U74" s="1" t="s">
        <v>623</v>
      </c>
    </row>
    <row r="75" spans="1:21" ht="15">
      <c r="A75" s="285" t="s">
        <v>258</v>
      </c>
      <c r="B75" s="1"/>
      <c r="G75" s="436">
        <v>10</v>
      </c>
      <c r="H75" s="32" t="s">
        <v>240</v>
      </c>
      <c r="I75" s="283"/>
      <c r="J75" s="283"/>
      <c r="K75" s="283"/>
      <c r="Q75" s="1" t="s">
        <v>47</v>
      </c>
      <c r="R75" s="1" t="s">
        <v>283</v>
      </c>
      <c r="S75" s="1" t="s">
        <v>806</v>
      </c>
      <c r="T75" s="289" t="s">
        <v>365</v>
      </c>
      <c r="U75" s="1" t="s">
        <v>624</v>
      </c>
    </row>
    <row r="76" spans="1:21">
      <c r="A76" s="286" t="s">
        <v>259</v>
      </c>
      <c r="B76" s="1"/>
      <c r="C76" s="287"/>
      <c r="D76" s="283"/>
      <c r="G76" s="433">
        <v>1</v>
      </c>
      <c r="H76" s="283"/>
      <c r="I76" s="283"/>
      <c r="J76" s="283"/>
      <c r="K76" s="283"/>
      <c r="Q76" s="1" t="s">
        <v>57</v>
      </c>
      <c r="R76" s="1" t="s">
        <v>537</v>
      </c>
      <c r="S76" s="1" t="s">
        <v>807</v>
      </c>
      <c r="T76" s="280" t="s">
        <v>366</v>
      </c>
      <c r="U76" s="1" t="s">
        <v>625</v>
      </c>
    </row>
    <row r="77" spans="1:21" ht="17">
      <c r="A77" s="285" t="s">
        <v>249</v>
      </c>
      <c r="B77" s="283"/>
      <c r="C77" s="283"/>
      <c r="D77" s="283"/>
      <c r="E77" s="283"/>
      <c r="F77" s="283"/>
      <c r="G77" s="288">
        <f>G76*G75</f>
        <v>10</v>
      </c>
      <c r="H77" s="32" t="s">
        <v>240</v>
      </c>
      <c r="Q77" s="1" t="s">
        <v>58</v>
      </c>
      <c r="R77" s="1" t="s">
        <v>538</v>
      </c>
      <c r="S77" s="1" t="s">
        <v>808</v>
      </c>
      <c r="T77" s="280" t="s">
        <v>367</v>
      </c>
      <c r="U77" s="1" t="s">
        <v>626</v>
      </c>
    </row>
    <row r="78" spans="1:21">
      <c r="B78" s="1"/>
      <c r="Q78" s="1" t="s">
        <v>59</v>
      </c>
      <c r="R78" s="1" t="s">
        <v>539</v>
      </c>
      <c r="S78" s="1" t="s">
        <v>809</v>
      </c>
      <c r="T78" s="280" t="s">
        <v>368</v>
      </c>
      <c r="U78" s="1" t="s">
        <v>627</v>
      </c>
    </row>
    <row r="79" spans="1:21">
      <c r="Q79" s="1" t="s">
        <v>60</v>
      </c>
      <c r="R79" s="1" t="s">
        <v>284</v>
      </c>
      <c r="S79" s="1" t="s">
        <v>810</v>
      </c>
      <c r="T79" s="280" t="s">
        <v>369</v>
      </c>
      <c r="U79" s="1" t="s">
        <v>628</v>
      </c>
    </row>
    <row r="80" spans="1:21" ht="16">
      <c r="A80" s="290" t="s">
        <v>21</v>
      </c>
      <c r="Q80" s="1" t="s">
        <v>244</v>
      </c>
      <c r="R80" s="1" t="s">
        <v>540</v>
      </c>
      <c r="S80" s="1" t="s">
        <v>143</v>
      </c>
      <c r="T80" s="280" t="s">
        <v>370</v>
      </c>
      <c r="U80" s="1" t="s">
        <v>629</v>
      </c>
    </row>
    <row r="81" spans="1:25">
      <c r="A81" s="253" t="s">
        <v>47</v>
      </c>
      <c r="E81" t="s">
        <v>47</v>
      </c>
      <c r="Q81" s="1" t="s">
        <v>245</v>
      </c>
      <c r="R81" s="1" t="s">
        <v>541</v>
      </c>
      <c r="S81" s="1" t="s">
        <v>811</v>
      </c>
      <c r="T81" s="280" t="s">
        <v>371</v>
      </c>
      <c r="U81" s="1" t="s">
        <v>630</v>
      </c>
    </row>
    <row r="82" spans="1:25">
      <c r="A82" s="1" t="s">
        <v>119</v>
      </c>
      <c r="F82" s="437" t="s">
        <v>31</v>
      </c>
      <c r="Q82" s="1" t="s">
        <v>110</v>
      </c>
      <c r="R82" s="1" t="s">
        <v>285</v>
      </c>
      <c r="S82" s="1" t="s">
        <v>812</v>
      </c>
      <c r="T82" s="280" t="s">
        <v>372</v>
      </c>
      <c r="U82" s="1" t="s">
        <v>631</v>
      </c>
    </row>
    <row r="83" spans="1:25" ht="15">
      <c r="A83" s="262" t="s">
        <v>136</v>
      </c>
      <c r="F83" s="291">
        <f>SQRT(235/LOOKUP(F82,L1:M5))</f>
        <v>0.81361651346682706</v>
      </c>
      <c r="Q83" s="1" t="s">
        <v>111</v>
      </c>
      <c r="R83" s="1" t="s">
        <v>286</v>
      </c>
      <c r="S83" s="1" t="s">
        <v>813</v>
      </c>
      <c r="T83" s="280" t="s">
        <v>373</v>
      </c>
      <c r="U83" s="1" t="s">
        <v>632</v>
      </c>
    </row>
    <row r="84" spans="1:25">
      <c r="A84" s="262"/>
      <c r="F84" s="291"/>
      <c r="Q84" s="1" t="s">
        <v>67</v>
      </c>
      <c r="R84" s="1" t="s">
        <v>542</v>
      </c>
      <c r="S84" s="1" t="s">
        <v>144</v>
      </c>
      <c r="T84" s="280" t="s">
        <v>374</v>
      </c>
      <c r="U84" s="1" t="s">
        <v>633</v>
      </c>
    </row>
    <row r="85" spans="1:25">
      <c r="A85" s="1" t="s">
        <v>817</v>
      </c>
      <c r="D85" s="434" t="s">
        <v>820</v>
      </c>
      <c r="E85" s="435"/>
      <c r="F85" s="435"/>
      <c r="Q85" s="1" t="s">
        <v>68</v>
      </c>
      <c r="R85" s="1" t="s">
        <v>543</v>
      </c>
      <c r="S85" s="1" t="s">
        <v>145</v>
      </c>
      <c r="T85" s="280" t="s">
        <v>375</v>
      </c>
      <c r="U85" s="1" t="s">
        <v>634</v>
      </c>
      <c r="Y85"/>
    </row>
    <row r="86" spans="1:25" s="283" customFormat="1">
      <c r="A86" s="1" t="s">
        <v>120</v>
      </c>
      <c r="B86" s="32"/>
      <c r="C86" s="438" t="s">
        <v>410</v>
      </c>
      <c r="D86" s="435"/>
      <c r="E86" s="435"/>
      <c r="F86" s="435"/>
      <c r="G86" s="382" t="str">
        <f>IF(D85="walsprofiel",'Doorsnedeklasse wals'!E104,IF(OR(D85="vierkante buis, koud",D85="vierkante buis, warm"),'Doorsnedeklasse vierkant'!E79,'Doorsnedeklasse rond'!D38))</f>
        <v/>
      </c>
      <c r="I86" s="1"/>
      <c r="J86" s="1"/>
      <c r="K86" s="1"/>
      <c r="Q86" s="1" t="s">
        <v>69</v>
      </c>
      <c r="R86" s="1" t="s">
        <v>544</v>
      </c>
      <c r="S86" s="1" t="s">
        <v>814</v>
      </c>
      <c r="T86" s="280" t="s">
        <v>376</v>
      </c>
      <c r="U86" s="1" t="s">
        <v>635</v>
      </c>
      <c r="Y86"/>
    </row>
    <row r="87" spans="1:25" s="283" customFormat="1">
      <c r="A87" s="1" t="s">
        <v>146</v>
      </c>
      <c r="B87" s="1"/>
      <c r="C87" s="1"/>
      <c r="D87" s="1"/>
      <c r="E87" s="1"/>
      <c r="F87" s="292">
        <f>IF(D85="walsprofiel",'Doorsnedeklasse wals'!D104,IF(OR(D85="vierkante buis, koud",D85="vierkante buis, warm"),'Doorsnedeklasse vierkant'!D79,'Doorsnedeklasse rond'!C38))</f>
        <v>1</v>
      </c>
      <c r="G87" t="s">
        <v>47</v>
      </c>
      <c r="I87" s="1"/>
      <c r="J87" s="1"/>
      <c r="K87" s="1"/>
      <c r="Q87" s="1" t="s">
        <v>70</v>
      </c>
      <c r="R87" s="1" t="s">
        <v>287</v>
      </c>
      <c r="S87" s="1" t="s">
        <v>815</v>
      </c>
      <c r="T87" s="280" t="s">
        <v>377</v>
      </c>
      <c r="U87" s="1" t="s">
        <v>636</v>
      </c>
      <c r="Y87"/>
    </row>
    <row r="88" spans="1:25" s="283" customForma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Q88" s="1" t="s">
        <v>71</v>
      </c>
      <c r="R88" s="1" t="s">
        <v>545</v>
      </c>
      <c r="S88" s="1" t="s">
        <v>150</v>
      </c>
      <c r="T88" s="280" t="s">
        <v>378</v>
      </c>
      <c r="U88" s="1" t="s">
        <v>637</v>
      </c>
    </row>
    <row r="89" spans="1:25" s="283" customFormat="1" ht="15">
      <c r="A89" s="1" t="s">
        <v>121</v>
      </c>
      <c r="B89" s="32"/>
      <c r="C89" s="1"/>
      <c r="D89" s="1"/>
      <c r="E89" s="1"/>
      <c r="F89" s="258">
        <f>VLOOKUP(C86,DBASE,10,FALSE)</f>
        <v>9914.8664147293875</v>
      </c>
      <c r="G89" s="32" t="s">
        <v>171</v>
      </c>
      <c r="H89" s="1"/>
      <c r="I89" s="1"/>
      <c r="J89" s="1"/>
      <c r="K89" s="1"/>
      <c r="Q89" s="1" t="s">
        <v>72</v>
      </c>
      <c r="R89" s="1" t="s">
        <v>546</v>
      </c>
      <c r="S89" s="1" t="s">
        <v>816</v>
      </c>
      <c r="T89" s="280" t="s">
        <v>379</v>
      </c>
      <c r="U89" s="1" t="s">
        <v>638</v>
      </c>
    </row>
    <row r="90" spans="1:25" s="283" customFormat="1" ht="15">
      <c r="A90" s="1" t="s">
        <v>112</v>
      </c>
      <c r="B90" s="32"/>
      <c r="C90" s="1"/>
      <c r="D90" s="1"/>
      <c r="E90" s="1"/>
      <c r="F90" s="293">
        <f>VLOOKUP(C86,DBASE,15,FALSE)</f>
        <v>56.237042952132548</v>
      </c>
      <c r="G90" s="32" t="s">
        <v>172</v>
      </c>
      <c r="H90" s="1"/>
      <c r="I90" s="1"/>
      <c r="J90" s="1"/>
      <c r="K90" s="1"/>
      <c r="Q90" s="1" t="s">
        <v>73</v>
      </c>
      <c r="R90" s="1" t="s">
        <v>547</v>
      </c>
      <c r="S90" s="1" t="s">
        <v>151</v>
      </c>
      <c r="T90" s="280" t="s">
        <v>380</v>
      </c>
      <c r="U90" s="1" t="s">
        <v>639</v>
      </c>
    </row>
    <row r="91" spans="1:25" s="283" customFormat="1" ht="15">
      <c r="A91" s="1" t="s">
        <v>122</v>
      </c>
      <c r="B91" s="32"/>
      <c r="C91" s="1"/>
      <c r="D91" s="1"/>
      <c r="E91" s="1"/>
      <c r="F91" s="293">
        <f>VLOOKUP(C86,DBASE,19,FALSE)</f>
        <v>56.237042952132548</v>
      </c>
      <c r="G91" s="32" t="s">
        <v>172</v>
      </c>
      <c r="H91" s="1"/>
      <c r="I91" s="1"/>
      <c r="J91" s="1"/>
      <c r="K91" s="1"/>
      <c r="Q91" s="1" t="s">
        <v>74</v>
      </c>
      <c r="R91" s="1" t="s">
        <v>288</v>
      </c>
      <c r="S91" s="1" t="s">
        <v>152</v>
      </c>
      <c r="T91" s="280" t="s">
        <v>381</v>
      </c>
      <c r="U91" s="1" t="s">
        <v>640</v>
      </c>
    </row>
    <row r="92" spans="1:25" s="283" customFormat="1" ht="16">
      <c r="A92" s="1" t="s">
        <v>251</v>
      </c>
      <c r="B92" s="32"/>
      <c r="C92" s="1"/>
      <c r="D92" s="1"/>
      <c r="E92" s="393">
        <f>IF(F87&lt;=2,VLOOKUP(C86,DBASE,14,FALSE),VLOOKUP(C86,DBASE,13,FALSE))</f>
        <v>500683.46666666679</v>
      </c>
      <c r="F92" s="394"/>
      <c r="G92" s="284" t="s">
        <v>18</v>
      </c>
      <c r="H92" s="1"/>
      <c r="I92" s="1"/>
      <c r="J92" s="1"/>
      <c r="K92" s="1"/>
      <c r="Q92" s="1" t="s">
        <v>173</v>
      </c>
      <c r="R92" s="1" t="s">
        <v>289</v>
      </c>
      <c r="S92" s="1"/>
      <c r="T92" s="280" t="s">
        <v>382</v>
      </c>
      <c r="U92" s="1" t="s">
        <v>641</v>
      </c>
    </row>
    <row r="93" spans="1:25" s="283" customFormat="1" ht="16">
      <c r="A93" s="1" t="s">
        <v>252</v>
      </c>
      <c r="B93" s="32"/>
      <c r="C93" s="1"/>
      <c r="D93" s="1"/>
      <c r="E93" s="393">
        <f>IF(F87&lt;=2,VLOOKUP(C86,DBASE,18,FALSE),VLOOKUP(C86,DBASE,17,FALSE))</f>
        <v>500683.46666666679</v>
      </c>
      <c r="F93" s="394"/>
      <c r="G93" s="284" t="s">
        <v>18</v>
      </c>
      <c r="H93" s="1"/>
      <c r="I93" s="1"/>
      <c r="J93" s="1"/>
      <c r="K93" s="1"/>
      <c r="Q93" s="1" t="s">
        <v>174</v>
      </c>
      <c r="R93" s="1" t="s">
        <v>548</v>
      </c>
      <c r="S93" s="294"/>
      <c r="T93" s="280" t="s">
        <v>383</v>
      </c>
      <c r="U93" s="1" t="s">
        <v>642</v>
      </c>
    </row>
    <row r="94" spans="1:25">
      <c r="E94" s="372"/>
      <c r="F94" s="372"/>
      <c r="G94" s="284"/>
      <c r="Q94" s="1" t="s">
        <v>175</v>
      </c>
      <c r="R94" s="1" t="s">
        <v>290</v>
      </c>
      <c r="S94" s="294"/>
      <c r="T94" s="1" t="s">
        <v>384</v>
      </c>
      <c r="U94" s="1" t="s">
        <v>643</v>
      </c>
    </row>
    <row r="95" spans="1:25">
      <c r="Q95" s="1" t="s">
        <v>176</v>
      </c>
      <c r="R95" s="1" t="s">
        <v>549</v>
      </c>
      <c r="S95" s="294"/>
      <c r="T95" s="289" t="s">
        <v>385</v>
      </c>
      <c r="U95" s="1" t="s">
        <v>644</v>
      </c>
    </row>
    <row r="96" spans="1:25" ht="16">
      <c r="A96" s="251" t="s">
        <v>75</v>
      </c>
      <c r="B96" s="1"/>
      <c r="Q96" s="1" t="s">
        <v>177</v>
      </c>
      <c r="R96" s="1" t="s">
        <v>170</v>
      </c>
      <c r="S96" s="294"/>
      <c r="T96" s="289" t="s">
        <v>386</v>
      </c>
      <c r="U96" s="1" t="s">
        <v>645</v>
      </c>
    </row>
    <row r="97" spans="1:21">
      <c r="B97" s="1"/>
      <c r="Q97" s="1" t="s">
        <v>178</v>
      </c>
      <c r="R97" s="294"/>
      <c r="S97" s="294"/>
      <c r="T97" s="289" t="s">
        <v>387</v>
      </c>
      <c r="U97" s="1" t="s">
        <v>646</v>
      </c>
    </row>
    <row r="98" spans="1:21" ht="15">
      <c r="A98" s="33" t="s">
        <v>138</v>
      </c>
      <c r="B98" s="213"/>
      <c r="C98" s="213"/>
      <c r="D98" s="213"/>
      <c r="E98" s="295">
        <f>IF(F87="-","-",(IF(F87=4,350,I174)))</f>
        <v>9.765625E-2</v>
      </c>
      <c r="F98" s="32" t="s">
        <v>131</v>
      </c>
      <c r="G98" s="213"/>
      <c r="H98" s="213"/>
      <c r="Q98" s="1" t="s">
        <v>179</v>
      </c>
      <c r="R98" s="294"/>
      <c r="S98" s="294"/>
      <c r="T98" s="289" t="s">
        <v>388</v>
      </c>
      <c r="U98" s="1" t="s">
        <v>647</v>
      </c>
    </row>
    <row r="99" spans="1:21">
      <c r="Q99" s="1" t="s">
        <v>180</v>
      </c>
      <c r="R99" s="294"/>
      <c r="S99" s="294"/>
      <c r="T99" s="289" t="s">
        <v>389</v>
      </c>
      <c r="U99" s="1" t="s">
        <v>648</v>
      </c>
    </row>
    <row r="100" spans="1:21">
      <c r="A100" s="1" t="s">
        <v>123</v>
      </c>
      <c r="B100" s="1"/>
      <c r="Q100" s="1" t="s">
        <v>47</v>
      </c>
      <c r="R100" s="294"/>
      <c r="S100" s="294"/>
      <c r="T100" s="289" t="s">
        <v>390</v>
      </c>
      <c r="U100" s="1" t="s">
        <v>649</v>
      </c>
    </row>
    <row r="101" spans="1:21">
      <c r="A101" s="395" t="str">
        <f>IF(F87=4,"De kritieke staaltemperatuur bij doorsnedeklasse 4 kan nauwkeuriger worden bepaald met Annex E van NEN-EN 1993-1-2.","")</f>
        <v/>
      </c>
      <c r="B101" s="387"/>
      <c r="C101" s="387"/>
      <c r="D101" s="387"/>
      <c r="E101" s="387"/>
      <c r="F101" s="387"/>
      <c r="G101" s="387"/>
      <c r="H101" s="387"/>
      <c r="I101" s="387"/>
      <c r="J101" s="387"/>
      <c r="K101" s="379"/>
      <c r="Q101" s="1" t="s">
        <v>834</v>
      </c>
      <c r="R101" s="294"/>
      <c r="S101" s="294"/>
      <c r="T101" s="289" t="s">
        <v>391</v>
      </c>
      <c r="U101" s="1" t="s">
        <v>650</v>
      </c>
    </row>
    <row r="102" spans="1:21" hidden="1">
      <c r="A102" s="396"/>
      <c r="B102" s="396"/>
      <c r="C102" s="396"/>
      <c r="D102" s="396"/>
      <c r="E102" s="396"/>
      <c r="F102" s="396"/>
      <c r="G102" s="396"/>
      <c r="H102" s="396"/>
      <c r="I102" s="396"/>
      <c r="J102" s="396"/>
      <c r="K102" s="381"/>
      <c r="Q102" s="1" t="s">
        <v>835</v>
      </c>
      <c r="R102" s="294"/>
      <c r="S102" s="294"/>
      <c r="T102" s="289" t="s">
        <v>392</v>
      </c>
      <c r="U102" s="1" t="s">
        <v>651</v>
      </c>
    </row>
    <row r="103" spans="1:21" hidden="1">
      <c r="A103"/>
      <c r="B103"/>
      <c r="C103"/>
      <c r="D103"/>
      <c r="E103"/>
      <c r="F103"/>
      <c r="G103"/>
      <c r="H103"/>
      <c r="I103"/>
      <c r="J103"/>
      <c r="K103" s="381"/>
      <c r="Q103" s="1" t="s">
        <v>836</v>
      </c>
      <c r="R103" s="294"/>
      <c r="S103" s="294"/>
      <c r="T103" s="289" t="s">
        <v>393</v>
      </c>
      <c r="U103" s="1" t="s">
        <v>652</v>
      </c>
    </row>
    <row r="104" spans="1:21" hidden="1">
      <c r="Q104" s="1" t="s">
        <v>837</v>
      </c>
      <c r="R104" s="294"/>
      <c r="S104" s="294"/>
      <c r="T104" s="289" t="s">
        <v>394</v>
      </c>
      <c r="U104" s="1" t="s">
        <v>653</v>
      </c>
    </row>
    <row r="105" spans="1:21" hidden="1">
      <c r="Q105" s="1" t="s">
        <v>838</v>
      </c>
      <c r="R105" s="294"/>
      <c r="S105" s="294"/>
      <c r="T105" s="289" t="s">
        <v>395</v>
      </c>
      <c r="U105" s="1" t="s">
        <v>654</v>
      </c>
    </row>
    <row r="106" spans="1:21" hidden="1">
      <c r="Q106" s="1" t="s">
        <v>839</v>
      </c>
      <c r="R106" s="294"/>
      <c r="S106" s="294"/>
      <c r="T106" s="289" t="s">
        <v>396</v>
      </c>
      <c r="U106" s="1" t="s">
        <v>655</v>
      </c>
    </row>
    <row r="107" spans="1:21" hidden="1">
      <c r="Q107" s="1" t="s">
        <v>840</v>
      </c>
      <c r="R107" s="294"/>
      <c r="S107" s="294"/>
      <c r="T107" s="289" t="s">
        <v>397</v>
      </c>
      <c r="U107" s="1" t="s">
        <v>656</v>
      </c>
    </row>
    <row r="108" spans="1:21" hidden="1">
      <c r="Q108" s="1" t="s">
        <v>841</v>
      </c>
      <c r="R108" s="294"/>
      <c r="S108" s="294"/>
      <c r="T108" s="289" t="s">
        <v>398</v>
      </c>
      <c r="U108" s="1" t="s">
        <v>657</v>
      </c>
    </row>
    <row r="109" spans="1:21" hidden="1">
      <c r="Q109" s="1" t="s">
        <v>842</v>
      </c>
      <c r="R109" s="294"/>
      <c r="S109" s="294"/>
      <c r="T109" s="289" t="s">
        <v>399</v>
      </c>
      <c r="U109" s="1" t="s">
        <v>658</v>
      </c>
    </row>
    <row r="110" spans="1:21">
      <c r="Q110" s="1" t="s">
        <v>843</v>
      </c>
      <c r="R110" s="294"/>
      <c r="S110" s="294"/>
      <c r="T110" s="289" t="s">
        <v>400</v>
      </c>
      <c r="U110" s="1" t="s">
        <v>659</v>
      </c>
    </row>
    <row r="111" spans="1:21" ht="16">
      <c r="A111" s="251" t="s">
        <v>124</v>
      </c>
      <c r="Q111" s="1" t="s">
        <v>844</v>
      </c>
      <c r="R111" s="296"/>
      <c r="S111" s="296"/>
      <c r="T111" s="289" t="s">
        <v>401</v>
      </c>
      <c r="U111" s="1" t="s">
        <v>660</v>
      </c>
    </row>
    <row r="112" spans="1:21">
      <c r="Q112" s="1" t="s">
        <v>845</v>
      </c>
      <c r="R112" s="296"/>
      <c r="S112" s="296"/>
      <c r="T112" s="289" t="s">
        <v>402</v>
      </c>
      <c r="U112" s="1" t="s">
        <v>661</v>
      </c>
    </row>
    <row r="113" spans="1:21">
      <c r="A113" s="1" t="s">
        <v>253</v>
      </c>
      <c r="Q113" s="1" t="s">
        <v>846</v>
      </c>
      <c r="R113" s="296"/>
      <c r="S113" s="296"/>
      <c r="T113" s="289" t="s">
        <v>241</v>
      </c>
      <c r="U113" s="1" t="s">
        <v>129</v>
      </c>
    </row>
    <row r="114" spans="1:21" ht="14" thickBot="1">
      <c r="Q114" s="1" t="s">
        <v>847</v>
      </c>
      <c r="R114" s="296"/>
      <c r="S114" s="296"/>
      <c r="T114" s="84" t="s">
        <v>403</v>
      </c>
      <c r="U114" s="1" t="s">
        <v>662</v>
      </c>
    </row>
    <row r="115" spans="1:21">
      <c r="A115" s="297"/>
      <c r="B115" s="298"/>
      <c r="C115" s="388" t="s">
        <v>80</v>
      </c>
      <c r="D115" s="389"/>
      <c r="E115" s="389"/>
      <c r="F115" s="389"/>
      <c r="G115" s="389"/>
      <c r="H115" s="389"/>
      <c r="I115" s="389"/>
      <c r="J115" s="390"/>
      <c r="K115" s="423"/>
      <c r="Q115" s="1" t="s">
        <v>848</v>
      </c>
      <c r="R115" s="310"/>
      <c r="S115" s="310"/>
      <c r="T115" s="84" t="s">
        <v>404</v>
      </c>
      <c r="U115" s="1" t="s">
        <v>663</v>
      </c>
    </row>
    <row r="116" spans="1:21">
      <c r="A116" s="299"/>
      <c r="B116" s="300"/>
      <c r="C116" s="301">
        <v>1</v>
      </c>
      <c r="D116" s="301">
        <v>2</v>
      </c>
      <c r="E116" s="301">
        <v>3</v>
      </c>
      <c r="F116" s="301">
        <v>4</v>
      </c>
      <c r="G116" s="301">
        <v>5</v>
      </c>
      <c r="H116" s="301">
        <v>6</v>
      </c>
      <c r="I116" s="301">
        <v>7</v>
      </c>
      <c r="J116" s="302">
        <v>8</v>
      </c>
      <c r="K116" s="424"/>
      <c r="Q116" s="1" t="s">
        <v>849</v>
      </c>
      <c r="R116" s="310"/>
      <c r="S116" s="310"/>
      <c r="T116" s="84" t="s">
        <v>405</v>
      </c>
      <c r="U116" s="1" t="s">
        <v>664</v>
      </c>
    </row>
    <row r="117" spans="1:21" ht="15">
      <c r="A117" s="303" t="s">
        <v>36</v>
      </c>
      <c r="B117" s="1"/>
      <c r="C117" s="304"/>
      <c r="D117" s="304"/>
      <c r="E117" s="304"/>
      <c r="F117" s="305">
        <f>IF(E$119=0,0,IF(E$119=450,400,IF(E$119=600,500,700)))</f>
        <v>0</v>
      </c>
      <c r="G117" s="305">
        <f>IF(F146&lt;=1,F119,F117)</f>
        <v>0</v>
      </c>
      <c r="H117" s="305">
        <f>IF(G146&lt;=1,G119,G117)</f>
        <v>0</v>
      </c>
      <c r="I117" s="305">
        <f>IF(H146&lt;=1,H119,H117)</f>
        <v>0</v>
      </c>
      <c r="J117" s="306">
        <f>IF(I146&lt;=1,I119,I117)</f>
        <v>0</v>
      </c>
      <c r="K117" s="425"/>
      <c r="Q117" s="1" t="s">
        <v>850</v>
      </c>
      <c r="R117" s="310"/>
      <c r="S117" s="310"/>
      <c r="T117" s="84" t="s">
        <v>406</v>
      </c>
      <c r="U117" s="1" t="s">
        <v>665</v>
      </c>
    </row>
    <row r="118" spans="1:21" ht="15">
      <c r="A118" s="303" t="s">
        <v>37</v>
      </c>
      <c r="B118" s="1"/>
      <c r="C118" s="307"/>
      <c r="D118" s="307"/>
      <c r="E118" s="307"/>
      <c r="F118" s="308">
        <f>IF(E$119=0,400,IF(E$119=450,500,IF(E$119=600,700,1199)))</f>
        <v>400</v>
      </c>
      <c r="G118" s="308">
        <f>IF(F146&lt;=1,F118,F119)</f>
        <v>200</v>
      </c>
      <c r="H118" s="308">
        <f>IF(G146&lt;=1,G118,G119)</f>
        <v>100</v>
      </c>
      <c r="I118" s="308">
        <f>IF(H146&lt;=1,H118,H119)</f>
        <v>50</v>
      </c>
      <c r="J118" s="309">
        <f>IF(I146&lt;=1,I118,I119)</f>
        <v>25</v>
      </c>
      <c r="K118" s="425"/>
      <c r="Q118" s="1" t="s">
        <v>851</v>
      </c>
      <c r="R118" s="310"/>
      <c r="S118" s="310"/>
      <c r="T118" s="84" t="s">
        <v>407</v>
      </c>
      <c r="U118" s="1" t="s">
        <v>666</v>
      </c>
    </row>
    <row r="119" spans="1:21">
      <c r="A119" s="303" t="s">
        <v>135</v>
      </c>
      <c r="B119" s="1"/>
      <c r="C119" s="308">
        <v>500</v>
      </c>
      <c r="D119" s="308">
        <f>IF(C$145&lt;=1,700,400)</f>
        <v>400</v>
      </c>
      <c r="E119" s="308">
        <f>IF((C$146&lt;=1)*AND(D$146&lt;=1),1199,IF((C$146&lt;=1)*AND(D$146&gt;1),600,IF((D$146&lt;=1),450,0)))</f>
        <v>0</v>
      </c>
      <c r="F119" s="308">
        <f>(F117+F118)/2</f>
        <v>200</v>
      </c>
      <c r="G119" s="308">
        <f>(G117+G118)/2</f>
        <v>100</v>
      </c>
      <c r="H119" s="308">
        <f>(H117+H118)/2</f>
        <v>50</v>
      </c>
      <c r="I119" s="308">
        <f>(I117+I118)/2</f>
        <v>25</v>
      </c>
      <c r="J119" s="309">
        <f>(J117+J118)/2</f>
        <v>12.5</v>
      </c>
      <c r="K119" s="425"/>
      <c r="Q119" s="1" t="s">
        <v>852</v>
      </c>
      <c r="R119" s="310"/>
      <c r="S119" s="310"/>
      <c r="T119" s="84" t="s">
        <v>408</v>
      </c>
      <c r="U119" s="1" t="s">
        <v>667</v>
      </c>
    </row>
    <row r="120" spans="1:21" ht="17">
      <c r="A120" s="303" t="s">
        <v>38</v>
      </c>
      <c r="B120" s="1"/>
      <c r="C120" s="311">
        <f>(C119-C150)/100*(C153-C151)+C151</f>
        <v>0.78</v>
      </c>
      <c r="D120" s="311">
        <f t="shared" ref="D120:J120" si="0">(D119-D150)/100*(D153-D151)+D151</f>
        <v>1</v>
      </c>
      <c r="E120" s="311">
        <f t="shared" si="0"/>
        <v>1</v>
      </c>
      <c r="F120" s="311">
        <f t="shared" si="0"/>
        <v>1</v>
      </c>
      <c r="G120" s="311">
        <f t="shared" si="0"/>
        <v>1</v>
      </c>
      <c r="H120" s="311">
        <f t="shared" si="0"/>
        <v>1</v>
      </c>
      <c r="I120" s="311">
        <f t="shared" si="0"/>
        <v>1</v>
      </c>
      <c r="J120" s="312">
        <f t="shared" si="0"/>
        <v>1</v>
      </c>
      <c r="K120" s="426"/>
      <c r="Q120" s="1" t="s">
        <v>853</v>
      </c>
      <c r="R120" s="310"/>
      <c r="S120" s="310"/>
      <c r="T120" s="84" t="s">
        <v>409</v>
      </c>
      <c r="U120" s="1" t="s">
        <v>668</v>
      </c>
    </row>
    <row r="121" spans="1:21" ht="17">
      <c r="A121" s="303" t="s">
        <v>39</v>
      </c>
      <c r="B121" s="1"/>
      <c r="C121" s="311">
        <f>(C119-C150)/100*(C154-C152)+C152</f>
        <v>0.6</v>
      </c>
      <c r="D121" s="311">
        <f t="shared" ref="D121:J121" si="1">(D119-D150)/100*(D154-D152)+D152</f>
        <v>0.7</v>
      </c>
      <c r="E121" s="311">
        <f t="shared" si="1"/>
        <v>1</v>
      </c>
      <c r="F121" s="311">
        <f t="shared" si="1"/>
        <v>0.9</v>
      </c>
      <c r="G121" s="311">
        <f t="shared" si="1"/>
        <v>1</v>
      </c>
      <c r="H121" s="311">
        <f t="shared" si="1"/>
        <v>1</v>
      </c>
      <c r="I121" s="311">
        <f t="shared" si="1"/>
        <v>1</v>
      </c>
      <c r="J121" s="312">
        <f t="shared" si="1"/>
        <v>1</v>
      </c>
      <c r="K121" s="426"/>
      <c r="Q121" s="1" t="s">
        <v>854</v>
      </c>
      <c r="R121" s="310"/>
      <c r="S121" s="310"/>
      <c r="T121" s="84" t="s">
        <v>410</v>
      </c>
      <c r="U121" s="1" t="s">
        <v>669</v>
      </c>
    </row>
    <row r="122" spans="1:21" ht="17">
      <c r="A122" s="313" t="s">
        <v>40</v>
      </c>
      <c r="B122" s="314"/>
      <c r="C122" s="315">
        <f>SQRT(C120/C121)</f>
        <v>1.1401754250991381</v>
      </c>
      <c r="D122" s="315">
        <f t="shared" ref="D122:J122" si="2">SQRT(D120/D121)</f>
        <v>1.1952286093343936</v>
      </c>
      <c r="E122" s="315">
        <f t="shared" si="2"/>
        <v>1</v>
      </c>
      <c r="F122" s="315">
        <f t="shared" si="2"/>
        <v>1.0540925533894598</v>
      </c>
      <c r="G122" s="315">
        <f t="shared" si="2"/>
        <v>1</v>
      </c>
      <c r="H122" s="315">
        <f t="shared" si="2"/>
        <v>1</v>
      </c>
      <c r="I122" s="315">
        <f t="shared" si="2"/>
        <v>1</v>
      </c>
      <c r="J122" s="316">
        <f t="shared" si="2"/>
        <v>1</v>
      </c>
      <c r="K122" s="426"/>
      <c r="Q122" s="1" t="s">
        <v>855</v>
      </c>
      <c r="R122" s="310"/>
      <c r="S122" s="310"/>
      <c r="T122" s="84" t="s">
        <v>411</v>
      </c>
      <c r="U122" s="1" t="s">
        <v>670</v>
      </c>
    </row>
    <row r="123" spans="1:21" ht="16">
      <c r="A123" s="317" t="s">
        <v>115</v>
      </c>
      <c r="B123" s="1"/>
      <c r="C123" s="311">
        <f t="shared" ref="C123:J123" si="3">$G$72*1000/$F$90/93.9/$F$83</f>
        <v>2.3275133278284459</v>
      </c>
      <c r="D123" s="311">
        <f t="shared" si="3"/>
        <v>2.3275133278284459</v>
      </c>
      <c r="E123" s="311">
        <f t="shared" si="3"/>
        <v>2.3275133278284459</v>
      </c>
      <c r="F123" s="311">
        <f t="shared" si="3"/>
        <v>2.3275133278284459</v>
      </c>
      <c r="G123" s="311">
        <f t="shared" si="3"/>
        <v>2.3275133278284459</v>
      </c>
      <c r="H123" s="311">
        <f t="shared" si="3"/>
        <v>2.3275133278284459</v>
      </c>
      <c r="I123" s="311">
        <f t="shared" si="3"/>
        <v>2.3275133278284459</v>
      </c>
      <c r="J123" s="312">
        <f t="shared" si="3"/>
        <v>2.3275133278284459</v>
      </c>
      <c r="K123" s="426"/>
      <c r="Q123" s="1" t="s">
        <v>856</v>
      </c>
      <c r="R123" s="318"/>
      <c r="S123" s="318"/>
      <c r="T123" s="84" t="s">
        <v>412</v>
      </c>
      <c r="U123" s="1" t="s">
        <v>671</v>
      </c>
    </row>
    <row r="124" spans="1:21" ht="17">
      <c r="A124" s="317" t="s">
        <v>116</v>
      </c>
      <c r="B124" s="1"/>
      <c r="C124" s="311">
        <f>C123*C122</f>
        <v>2.6537734979807079</v>
      </c>
      <c r="D124" s="311">
        <f t="shared" ref="D124:J124" si="4">D123*D122</f>
        <v>2.7819105180276598</v>
      </c>
      <c r="E124" s="311">
        <f t="shared" si="4"/>
        <v>2.3275133278284459</v>
      </c>
      <c r="F124" s="311">
        <f t="shared" si="4"/>
        <v>2.4534144667786855</v>
      </c>
      <c r="G124" s="311">
        <f t="shared" si="4"/>
        <v>2.3275133278284459</v>
      </c>
      <c r="H124" s="311">
        <f t="shared" si="4"/>
        <v>2.3275133278284459</v>
      </c>
      <c r="I124" s="311">
        <f t="shared" si="4"/>
        <v>2.3275133278284459</v>
      </c>
      <c r="J124" s="312">
        <f t="shared" si="4"/>
        <v>2.3275133278284459</v>
      </c>
      <c r="K124" s="426"/>
      <c r="Q124" s="1" t="s">
        <v>857</v>
      </c>
      <c r="R124" s="320"/>
      <c r="S124" s="320"/>
      <c r="T124" s="84" t="s">
        <v>413</v>
      </c>
      <c r="U124" s="1" t="s">
        <v>672</v>
      </c>
    </row>
    <row r="125" spans="1:21" ht="15">
      <c r="A125" s="317" t="s">
        <v>118</v>
      </c>
      <c r="B125" s="1"/>
      <c r="C125" s="311">
        <f t="shared" ref="C125:J125" si="5">0.65*$F$83</f>
        <v>0.52885073375343761</v>
      </c>
      <c r="D125" s="311">
        <f t="shared" si="5"/>
        <v>0.52885073375343761</v>
      </c>
      <c r="E125" s="311">
        <f t="shared" si="5"/>
        <v>0.52885073375343761</v>
      </c>
      <c r="F125" s="311">
        <f t="shared" si="5"/>
        <v>0.52885073375343761</v>
      </c>
      <c r="G125" s="311">
        <f t="shared" si="5"/>
        <v>0.52885073375343761</v>
      </c>
      <c r="H125" s="311">
        <f t="shared" si="5"/>
        <v>0.52885073375343761</v>
      </c>
      <c r="I125" s="311">
        <f t="shared" si="5"/>
        <v>0.52885073375343761</v>
      </c>
      <c r="J125" s="312">
        <f t="shared" si="5"/>
        <v>0.52885073375343761</v>
      </c>
      <c r="K125" s="426"/>
      <c r="Q125" s="1" t="s">
        <v>858</v>
      </c>
      <c r="R125" s="320"/>
      <c r="S125" s="320"/>
      <c r="T125" s="289" t="s">
        <v>414</v>
      </c>
      <c r="U125" s="1" t="s">
        <v>673</v>
      </c>
    </row>
    <row r="126" spans="1:21" ht="17">
      <c r="A126" s="317" t="s">
        <v>19</v>
      </c>
      <c r="B126" s="1"/>
      <c r="C126" s="311">
        <f t="shared" ref="C126:J126" si="6">0.5*(1+C125*C124+C124^2)</f>
        <v>4.7229819201036438</v>
      </c>
      <c r="D126" s="311">
        <f t="shared" si="6"/>
        <v>5.1051207745041278</v>
      </c>
      <c r="E126" s="311">
        <f t="shared" si="6"/>
        <v>3.8241127112310132</v>
      </c>
      <c r="F126" s="311">
        <f t="shared" si="6"/>
        <v>4.1583662933780738</v>
      </c>
      <c r="G126" s="311">
        <f t="shared" si="6"/>
        <v>3.8241127112310132</v>
      </c>
      <c r="H126" s="311">
        <f t="shared" si="6"/>
        <v>3.8241127112310132</v>
      </c>
      <c r="I126" s="311">
        <f t="shared" si="6"/>
        <v>3.8241127112310132</v>
      </c>
      <c r="J126" s="312">
        <f t="shared" si="6"/>
        <v>3.8241127112310132</v>
      </c>
      <c r="K126" s="426"/>
      <c r="Q126" s="1" t="s">
        <v>859</v>
      </c>
      <c r="R126" s="321"/>
      <c r="S126" s="321"/>
      <c r="T126" s="289" t="s">
        <v>415</v>
      </c>
      <c r="U126" s="1" t="s">
        <v>674</v>
      </c>
    </row>
    <row r="127" spans="1:21" ht="16">
      <c r="A127" s="319" t="s">
        <v>117</v>
      </c>
      <c r="B127" s="314"/>
      <c r="C127" s="315">
        <f>1/(C126+SQRT(C126*C126-C124*C124))</f>
        <v>0.11587613677081116</v>
      </c>
      <c r="D127" s="315">
        <f>1/(D126+SQRT(D126*D126-D124*D124))</f>
        <v>0.10654523098869965</v>
      </c>
      <c r="E127" s="315">
        <f t="shared" ref="E127:J127" si="7">1/(E126+SQRT(E126*E126-E124*E124))</f>
        <v>0.14580793202029571</v>
      </c>
      <c r="F127" s="315">
        <f t="shared" si="7"/>
        <v>0.1330519630227924</v>
      </c>
      <c r="G127" s="315">
        <f t="shared" si="7"/>
        <v>0.14580793202029571</v>
      </c>
      <c r="H127" s="315">
        <f t="shared" si="7"/>
        <v>0.14580793202029571</v>
      </c>
      <c r="I127" s="315">
        <f t="shared" si="7"/>
        <v>0.14580793202029571</v>
      </c>
      <c r="J127" s="316">
        <f t="shared" si="7"/>
        <v>0.14580793202029571</v>
      </c>
      <c r="K127" s="426"/>
      <c r="Q127" s="1" t="s">
        <v>860</v>
      </c>
      <c r="R127" s="321"/>
      <c r="S127" s="321"/>
      <c r="T127" s="289" t="s">
        <v>416</v>
      </c>
      <c r="U127" s="1" t="s">
        <v>675</v>
      </c>
    </row>
    <row r="128" spans="1:21" ht="16">
      <c r="A128" s="317" t="s">
        <v>114</v>
      </c>
      <c r="B128" s="1"/>
      <c r="C128" s="311">
        <f t="shared" ref="C128:J128" si="8">$G$77*1000/$F$91/93.9/$F$83</f>
        <v>2.3275133278284459</v>
      </c>
      <c r="D128" s="311">
        <f t="shared" si="8"/>
        <v>2.3275133278284459</v>
      </c>
      <c r="E128" s="311">
        <f t="shared" si="8"/>
        <v>2.3275133278284459</v>
      </c>
      <c r="F128" s="311">
        <f t="shared" si="8"/>
        <v>2.3275133278284459</v>
      </c>
      <c r="G128" s="311">
        <f t="shared" si="8"/>
        <v>2.3275133278284459</v>
      </c>
      <c r="H128" s="311">
        <f t="shared" si="8"/>
        <v>2.3275133278284459</v>
      </c>
      <c r="I128" s="311">
        <f t="shared" si="8"/>
        <v>2.3275133278284459</v>
      </c>
      <c r="J128" s="312">
        <f t="shared" si="8"/>
        <v>2.3275133278284459</v>
      </c>
      <c r="K128" s="426"/>
      <c r="Q128" s="1" t="s">
        <v>861</v>
      </c>
      <c r="R128" s="296"/>
      <c r="S128" s="296"/>
      <c r="T128" s="289" t="s">
        <v>417</v>
      </c>
      <c r="U128" s="1" t="s">
        <v>676</v>
      </c>
    </row>
    <row r="129" spans="1:21" ht="15" customHeight="1">
      <c r="A129" s="317" t="s">
        <v>113</v>
      </c>
      <c r="B129" s="1"/>
      <c r="C129" s="311">
        <f>C128*C122</f>
        <v>2.6537734979807079</v>
      </c>
      <c r="D129" s="311">
        <f t="shared" ref="D129:J129" si="9">D128*D122</f>
        <v>2.7819105180276598</v>
      </c>
      <c r="E129" s="311">
        <f t="shared" si="9"/>
        <v>2.3275133278284459</v>
      </c>
      <c r="F129" s="311">
        <f t="shared" si="9"/>
        <v>2.4534144667786855</v>
      </c>
      <c r="G129" s="311">
        <f t="shared" si="9"/>
        <v>2.3275133278284459</v>
      </c>
      <c r="H129" s="311">
        <f>H128*H122</f>
        <v>2.3275133278284459</v>
      </c>
      <c r="I129" s="311">
        <f t="shared" si="9"/>
        <v>2.3275133278284459</v>
      </c>
      <c r="J129" s="312">
        <f t="shared" si="9"/>
        <v>2.3275133278284459</v>
      </c>
      <c r="K129" s="426"/>
      <c r="Q129" s="1" t="s">
        <v>862</v>
      </c>
      <c r="R129" s="296"/>
      <c r="S129" s="296"/>
      <c r="T129" s="289" t="s">
        <v>418</v>
      </c>
      <c r="U129" s="1" t="s">
        <v>677</v>
      </c>
    </row>
    <row r="130" spans="1:21" ht="15" customHeight="1">
      <c r="A130" s="317" t="s">
        <v>118</v>
      </c>
      <c r="B130" s="1"/>
      <c r="C130" s="311">
        <f t="shared" ref="C130:J130" si="10">0.65*$F$83</f>
        <v>0.52885073375343761</v>
      </c>
      <c r="D130" s="311">
        <f t="shared" si="10"/>
        <v>0.52885073375343761</v>
      </c>
      <c r="E130" s="311">
        <f t="shared" si="10"/>
        <v>0.52885073375343761</v>
      </c>
      <c r="F130" s="311">
        <f t="shared" si="10"/>
        <v>0.52885073375343761</v>
      </c>
      <c r="G130" s="311">
        <f t="shared" si="10"/>
        <v>0.52885073375343761</v>
      </c>
      <c r="H130" s="311">
        <f t="shared" si="10"/>
        <v>0.52885073375343761</v>
      </c>
      <c r="I130" s="311">
        <f t="shared" si="10"/>
        <v>0.52885073375343761</v>
      </c>
      <c r="J130" s="312">
        <f t="shared" si="10"/>
        <v>0.52885073375343761</v>
      </c>
      <c r="K130" s="426"/>
      <c r="Q130" s="1" t="s">
        <v>863</v>
      </c>
      <c r="R130" s="296"/>
      <c r="S130" s="296"/>
      <c r="T130" s="289" t="s">
        <v>419</v>
      </c>
      <c r="U130" s="1" t="s">
        <v>678</v>
      </c>
    </row>
    <row r="131" spans="1:21" ht="15" customHeight="1">
      <c r="A131" s="317" t="s">
        <v>20</v>
      </c>
      <c r="B131" s="1"/>
      <c r="C131" s="311">
        <f>0.5*(1+C130*C129+C129^2)</f>
        <v>4.7229819201036438</v>
      </c>
      <c r="D131" s="311">
        <f>0.5*(1+D130*D129+D129^2)</f>
        <v>5.1051207745041278</v>
      </c>
      <c r="E131" s="311">
        <f t="shared" ref="E131:J131" si="11">0.5*(1+E130*E129+E129^2)</f>
        <v>3.8241127112310132</v>
      </c>
      <c r="F131" s="311">
        <f t="shared" si="11"/>
        <v>4.1583662933780738</v>
      </c>
      <c r="G131" s="311">
        <f t="shared" si="11"/>
        <v>3.8241127112310132</v>
      </c>
      <c r="H131" s="311">
        <f t="shared" si="11"/>
        <v>3.8241127112310132</v>
      </c>
      <c r="I131" s="311">
        <f t="shared" si="11"/>
        <v>3.8241127112310132</v>
      </c>
      <c r="J131" s="312">
        <f t="shared" si="11"/>
        <v>3.8241127112310132</v>
      </c>
      <c r="K131" s="426"/>
      <c r="L131" s="322"/>
      <c r="M131" s="322"/>
      <c r="N131" s="322"/>
      <c r="O131" s="322"/>
      <c r="P131" s="322"/>
      <c r="Q131" s="1" t="s">
        <v>864</v>
      </c>
      <c r="R131" s="296"/>
      <c r="S131" s="296"/>
      <c r="T131" s="289" t="s">
        <v>420</v>
      </c>
      <c r="U131" s="1" t="s">
        <v>679</v>
      </c>
    </row>
    <row r="132" spans="1:21" ht="15" customHeight="1">
      <c r="A132" s="319" t="s">
        <v>105</v>
      </c>
      <c r="B132" s="314"/>
      <c r="C132" s="315">
        <f>1/(C131+SQRT(C131*C131-C129*C129))</f>
        <v>0.11587613677081116</v>
      </c>
      <c r="D132" s="315">
        <f t="shared" ref="D132:J132" si="12">1/(D131+SQRT(D131*D131-D129*D129))</f>
        <v>0.10654523098869965</v>
      </c>
      <c r="E132" s="315">
        <f t="shared" si="12"/>
        <v>0.14580793202029571</v>
      </c>
      <c r="F132" s="315">
        <f t="shared" si="12"/>
        <v>0.1330519630227924</v>
      </c>
      <c r="G132" s="315">
        <f t="shared" si="12"/>
        <v>0.14580793202029571</v>
      </c>
      <c r="H132" s="315">
        <f t="shared" si="12"/>
        <v>0.14580793202029571</v>
      </c>
      <c r="I132" s="315">
        <f t="shared" si="12"/>
        <v>0.14580793202029571</v>
      </c>
      <c r="J132" s="316">
        <f t="shared" si="12"/>
        <v>0.14580793202029571</v>
      </c>
      <c r="K132" s="426"/>
      <c r="L132" s="322"/>
      <c r="M132" s="322"/>
      <c r="N132" s="322"/>
      <c r="O132" s="322"/>
      <c r="P132" s="322"/>
      <c r="Q132" s="1" t="s">
        <v>865</v>
      </c>
      <c r="R132" s="296"/>
      <c r="S132" s="296"/>
      <c r="T132" s="289" t="s">
        <v>242</v>
      </c>
      <c r="U132" s="1" t="s">
        <v>130</v>
      </c>
    </row>
    <row r="133" spans="1:21" ht="15" customHeight="1">
      <c r="A133" s="317" t="s">
        <v>98</v>
      </c>
      <c r="B133" s="1"/>
      <c r="C133" s="311">
        <f t="shared" ref="C133:J133" si="13">VLOOKUP($C$86,DBASE,52,FALSE)</f>
        <v>0</v>
      </c>
      <c r="D133" s="311">
        <f t="shared" si="13"/>
        <v>0</v>
      </c>
      <c r="E133" s="311">
        <f t="shared" si="13"/>
        <v>0</v>
      </c>
      <c r="F133" s="311">
        <f t="shared" si="13"/>
        <v>0</v>
      </c>
      <c r="G133" s="311">
        <f t="shared" si="13"/>
        <v>0</v>
      </c>
      <c r="H133" s="311">
        <f t="shared" si="13"/>
        <v>0</v>
      </c>
      <c r="I133" s="311">
        <f t="shared" si="13"/>
        <v>0</v>
      </c>
      <c r="J133" s="312">
        <f t="shared" si="13"/>
        <v>0</v>
      </c>
      <c r="K133" s="426"/>
      <c r="Q133" s="1" t="s">
        <v>866</v>
      </c>
      <c r="R133" s="296"/>
      <c r="S133" s="296"/>
      <c r="T133" s="289" t="s">
        <v>421</v>
      </c>
      <c r="U133" s="1" t="s">
        <v>680</v>
      </c>
    </row>
    <row r="134" spans="1:21" ht="15" customHeight="1">
      <c r="A134" s="317" t="s">
        <v>99</v>
      </c>
      <c r="B134" s="1"/>
      <c r="C134" s="311">
        <f>C133*C122</f>
        <v>0</v>
      </c>
      <c r="D134" s="311">
        <f t="shared" ref="D134:J134" si="14">D133*D122</f>
        <v>0</v>
      </c>
      <c r="E134" s="311">
        <f t="shared" si="14"/>
        <v>0</v>
      </c>
      <c r="F134" s="311">
        <f t="shared" si="14"/>
        <v>0</v>
      </c>
      <c r="G134" s="311">
        <f t="shared" si="14"/>
        <v>0</v>
      </c>
      <c r="H134" s="311">
        <f t="shared" si="14"/>
        <v>0</v>
      </c>
      <c r="I134" s="311">
        <f t="shared" si="14"/>
        <v>0</v>
      </c>
      <c r="J134" s="312">
        <f t="shared" si="14"/>
        <v>0</v>
      </c>
      <c r="K134" s="426"/>
      <c r="L134" s="294"/>
      <c r="M134" s="294"/>
      <c r="N134" s="294"/>
      <c r="O134" s="294"/>
      <c r="P134" s="294"/>
      <c r="Q134" s="1" t="s">
        <v>867</v>
      </c>
      <c r="R134" s="296"/>
      <c r="S134" s="296"/>
      <c r="T134" s="289" t="s">
        <v>422</v>
      </c>
      <c r="U134" s="1" t="s">
        <v>681</v>
      </c>
    </row>
    <row r="135" spans="1:21" ht="15" customHeight="1">
      <c r="A135" s="317" t="s">
        <v>118</v>
      </c>
      <c r="B135" s="1"/>
      <c r="C135" s="311">
        <f t="shared" ref="C135:J135" si="15">0.65*$F$83</f>
        <v>0.52885073375343761</v>
      </c>
      <c r="D135" s="311">
        <f t="shared" si="15"/>
        <v>0.52885073375343761</v>
      </c>
      <c r="E135" s="311">
        <f t="shared" si="15"/>
        <v>0.52885073375343761</v>
      </c>
      <c r="F135" s="311">
        <f t="shared" si="15"/>
        <v>0.52885073375343761</v>
      </c>
      <c r="G135" s="311">
        <f t="shared" si="15"/>
        <v>0.52885073375343761</v>
      </c>
      <c r="H135" s="311">
        <f t="shared" si="15"/>
        <v>0.52885073375343761</v>
      </c>
      <c r="I135" s="311">
        <f t="shared" si="15"/>
        <v>0.52885073375343761</v>
      </c>
      <c r="J135" s="312">
        <f t="shared" si="15"/>
        <v>0.52885073375343761</v>
      </c>
      <c r="K135" s="426"/>
      <c r="L135" s="294"/>
      <c r="M135" s="294"/>
      <c r="N135" s="294"/>
      <c r="O135" s="294"/>
      <c r="P135" s="294"/>
      <c r="Q135" s="1" t="s">
        <v>868</v>
      </c>
      <c r="R135" s="296"/>
      <c r="S135" s="296"/>
      <c r="T135" s="289" t="s">
        <v>423</v>
      </c>
      <c r="U135" s="1" t="s">
        <v>682</v>
      </c>
    </row>
    <row r="136" spans="1:21" ht="15" customHeight="1">
      <c r="A136" s="317" t="s">
        <v>100</v>
      </c>
      <c r="B136" s="1"/>
      <c r="C136" s="323">
        <f>0.5*(1+C135*C134+C134^2)</f>
        <v>0.5</v>
      </c>
      <c r="D136" s="323">
        <f t="shared" ref="D136:J136" si="16">0.5*(1+D135*D134+D134^2)</f>
        <v>0.5</v>
      </c>
      <c r="E136" s="323">
        <f t="shared" si="16"/>
        <v>0.5</v>
      </c>
      <c r="F136" s="323">
        <f>0.5*(1+F135*F134+F134^2)</f>
        <v>0.5</v>
      </c>
      <c r="G136" s="323">
        <f t="shared" si="16"/>
        <v>0.5</v>
      </c>
      <c r="H136" s="323">
        <f t="shared" si="16"/>
        <v>0.5</v>
      </c>
      <c r="I136" s="323">
        <f t="shared" si="16"/>
        <v>0.5</v>
      </c>
      <c r="J136" s="324">
        <f t="shared" si="16"/>
        <v>0.5</v>
      </c>
      <c r="K136" s="427"/>
      <c r="L136" s="294"/>
      <c r="M136" s="294"/>
      <c r="N136" s="294"/>
      <c r="O136" s="294"/>
      <c r="P136" s="294"/>
      <c r="Q136" s="1" t="s">
        <v>869</v>
      </c>
      <c r="R136" s="296"/>
      <c r="S136" s="296"/>
      <c r="T136" s="289" t="s">
        <v>424</v>
      </c>
      <c r="U136" s="1" t="s">
        <v>683</v>
      </c>
    </row>
    <row r="137" spans="1:21" ht="15" customHeight="1">
      <c r="A137" s="317" t="s">
        <v>101</v>
      </c>
      <c r="B137" s="1"/>
      <c r="C137" s="323">
        <f>1/(C136+SQRT(C136*C136-C134*C134))</f>
        <v>1</v>
      </c>
      <c r="D137" s="323">
        <f t="shared" ref="D137:J137" si="17">1/(D136+SQRT(D136*D136-D134*D134))</f>
        <v>1</v>
      </c>
      <c r="E137" s="323">
        <f t="shared" si="17"/>
        <v>1</v>
      </c>
      <c r="F137" s="323">
        <f t="shared" si="17"/>
        <v>1</v>
      </c>
      <c r="G137" s="323">
        <f t="shared" si="17"/>
        <v>1</v>
      </c>
      <c r="H137" s="323">
        <f t="shared" si="17"/>
        <v>1</v>
      </c>
      <c r="I137" s="323">
        <f t="shared" si="17"/>
        <v>1</v>
      </c>
      <c r="J137" s="324">
        <f t="shared" si="17"/>
        <v>1</v>
      </c>
      <c r="K137" s="427"/>
      <c r="L137" s="294"/>
      <c r="M137" s="294"/>
      <c r="N137" s="294"/>
      <c r="O137" s="294"/>
      <c r="P137" s="294"/>
      <c r="Q137" s="1" t="s">
        <v>870</v>
      </c>
      <c r="R137" s="296"/>
      <c r="S137" s="296"/>
      <c r="T137" s="289" t="s">
        <v>425</v>
      </c>
      <c r="U137" s="1" t="s">
        <v>684</v>
      </c>
    </row>
    <row r="138" spans="1:21" ht="15" customHeight="1">
      <c r="A138" s="325" t="s">
        <v>262</v>
      </c>
      <c r="B138" s="326"/>
      <c r="C138" s="327">
        <f>IF(C123&gt;1.1,IF((2*$I$38-5)*(C122*1.1)+0.44*$I$38+0.29&gt;0.8,0.8,(2*$I$38-5)*(C122*1.1)+0.44*$I$38+0.29),IF((2*$I$38-5)*C124+0.44*$I$38+0.29&gt;0.8,0.8,(2*$I$38-5)*C124+0.44*$I$38+0.29))</f>
        <v>-2.2365147003182679</v>
      </c>
      <c r="D138" s="327">
        <f t="shared" ref="D138:J138" si="18">IF(D123&gt;1.1,IF((2*$I$38-5)*(D122*1.1)+0.44*$I$38+0.29&gt;0.8,0.8,(2*$I$38-5)*(D122*1.1)+0.44*$I$38+0.29),IF((2*$I$38-5)*D124+0.44*$I$38+0.29&gt;0.8,0.8,(2*$I$38-5)*D124+0.44*$I$38+0.29))</f>
        <v>-2.3854886168588694</v>
      </c>
      <c r="E138" s="328">
        <f t="shared" si="18"/>
        <v>-1.8571999999999997</v>
      </c>
      <c r="F138" s="328">
        <f t="shared" si="18"/>
        <v>-2.0035744494718788</v>
      </c>
      <c r="G138" s="328">
        <f t="shared" si="18"/>
        <v>-1.8571999999999997</v>
      </c>
      <c r="H138" s="328">
        <f t="shared" si="18"/>
        <v>-1.8571999999999997</v>
      </c>
      <c r="I138" s="328">
        <f t="shared" si="18"/>
        <v>-1.8571999999999997</v>
      </c>
      <c r="J138" s="329">
        <f t="shared" si="18"/>
        <v>-1.8571999999999997</v>
      </c>
      <c r="K138" s="428"/>
      <c r="L138" s="294"/>
      <c r="M138" s="294"/>
      <c r="N138" s="294"/>
      <c r="O138" s="294"/>
      <c r="P138" s="294"/>
      <c r="Q138" s="1" t="s">
        <v>871</v>
      </c>
      <c r="R138" s="296"/>
      <c r="S138" s="296"/>
      <c r="T138" s="289" t="s">
        <v>426</v>
      </c>
      <c r="U138" s="1" t="s">
        <v>685</v>
      </c>
    </row>
    <row r="139" spans="1:21" ht="15" customHeight="1">
      <c r="A139" s="313" t="s">
        <v>263</v>
      </c>
      <c r="B139" s="314"/>
      <c r="C139" s="330">
        <f>IF(1-(C138*$I$21*1000)/(C127*$F$89*C120*LOOKUP($F82,$L1:$M5))&gt;3,3,1-(C138*$I$21*1000)/(C127*$F$89*C120*LOOKUP($F82,$L1:$M5)))</f>
        <v>3</v>
      </c>
      <c r="D139" s="330">
        <f>IF(1-(D138*$I$21*1000)/(D127*$F$89*D120*LOOKUP($F82,$L1:$M5))&gt;3,3,1-(D138*$I$21*1000)/(D127*$F$89*D120*LOOKUP($F82,$L1:$M5)))</f>
        <v>3</v>
      </c>
      <c r="E139" s="330">
        <f>IF(1-(E138*$I$21*1000)/(E127*$F$89*E120*LOOKUP($F82,$L1:$M5))&gt;3,3,1-(E138*$I$21*1000)/(E127*$F$89*E120*LOOKUP($F82,$L1:$M5)))</f>
        <v>2.8093905117554296</v>
      </c>
      <c r="F139" s="330">
        <f>IF(1-(F138*$I$21*1000)/(F127*$F$89*F120*LOOKUP($F82,$L1:$M5))&gt;3,3,1-(F138*$I$21*1000)/(F127*$F$89*F120*LOOKUP($F82,$L1:$M5)))</f>
        <v>3</v>
      </c>
      <c r="G139" s="330">
        <f>IF(1-(G138*$I$21*1000)/(G127*$F$89*G120*LOOKUP($F82,$L1:$M5))&gt;3,3,1-(G138*$I$21*1000)/(G127*$F$89*G120*LOOKUP($F82,$L1:$M5)))</f>
        <v>2.8093905117554296</v>
      </c>
      <c r="H139" s="330">
        <f>IF(1-(H138*$I$21*1000)/(H127*$F$89*H120*LOOKUP($F82,$L1:$M5))&gt;3,3,1-(H138*$I$21*1000)/(H127*$F$89*H120*LOOKUP($F82,$L1:$M5)))</f>
        <v>2.8093905117554296</v>
      </c>
      <c r="I139" s="330">
        <f>IF(1-(I138*$I$21*1000)/(I127*$F$89*I120*LOOKUP($F82,$L1:$M5))&gt;3,3,1-(I138*$I$21*1000)/(I127*$F$89*I120*LOOKUP($F82,$L1:$M5)))</f>
        <v>2.8093905117554296</v>
      </c>
      <c r="J139" s="331">
        <f>IF(1-(J138*$I$21*1000)/(J127*$F$89*J120*LOOKUP($F82,$L1:$M5))&gt;3,3,1-(J138*$I$21*1000)/(J127*$F$89*J120*LOOKUP($F82,$L1:$M5)))</f>
        <v>2.8093905117554296</v>
      </c>
      <c r="K139" s="428"/>
      <c r="L139" s="294"/>
      <c r="M139" s="294"/>
      <c r="N139" s="294"/>
      <c r="O139" s="294"/>
      <c r="P139" s="294"/>
      <c r="Q139" s="1" t="s">
        <v>872</v>
      </c>
      <c r="R139" s="296"/>
      <c r="S139" s="296"/>
      <c r="T139" s="289" t="s">
        <v>427</v>
      </c>
      <c r="U139" s="1" t="s">
        <v>686</v>
      </c>
    </row>
    <row r="140" spans="1:21" ht="15" customHeight="1">
      <c r="A140" s="317" t="s">
        <v>264</v>
      </c>
      <c r="B140" s="1"/>
      <c r="C140" s="332">
        <f t="shared" ref="C140:J140" si="19">IF((1.2*$I$59-3)*C129+0.71*$I$59-0.29&gt;0.8,0.8,(1.2*$I$59-3)*C129+0.71*$I$59-0.29)</f>
        <v>-1.2411697383037943</v>
      </c>
      <c r="D140" s="333">
        <f t="shared" si="19"/>
        <v>-1.348804835143234</v>
      </c>
      <c r="E140" s="333">
        <f t="shared" si="19"/>
        <v>-0.96711119537589418</v>
      </c>
      <c r="F140" s="333">
        <f t="shared" si="19"/>
        <v>-1.0728681520940953</v>
      </c>
      <c r="G140" s="333">
        <f t="shared" si="19"/>
        <v>-0.96711119537589418</v>
      </c>
      <c r="H140" s="333">
        <f t="shared" si="19"/>
        <v>-0.96711119537589418</v>
      </c>
      <c r="I140" s="333">
        <f t="shared" si="19"/>
        <v>-0.96711119537589418</v>
      </c>
      <c r="J140" s="334">
        <f t="shared" si="19"/>
        <v>-0.96711119537589418</v>
      </c>
      <c r="K140" s="428"/>
      <c r="L140" s="294"/>
      <c r="M140" s="294"/>
      <c r="N140" s="294"/>
      <c r="O140" s="294"/>
      <c r="P140" s="294"/>
      <c r="Q140" s="1" t="s">
        <v>873</v>
      </c>
      <c r="R140" s="296"/>
      <c r="S140" s="296"/>
      <c r="T140" s="289" t="s">
        <v>428</v>
      </c>
      <c r="U140" s="1" t="s">
        <v>687</v>
      </c>
    </row>
    <row r="141" spans="1:21" ht="15" customHeight="1">
      <c r="A141" s="303" t="s">
        <v>265</v>
      </c>
      <c r="B141" s="1"/>
      <c r="C141" s="333">
        <f>IF(1-(C140*$I$21*1000)/(C132*$F$89*C120*LOOKUP($F82,$L1:$M5))&gt;3,3,1-(C140*$I$21*1000)/(C132*$F$89*C120*LOOKUP($F82,$L1:$M5)))</f>
        <v>2.9507308486401844</v>
      </c>
      <c r="D141" s="333">
        <f>IF(1-(D140*$I$21*1000)/(D132*$F$89*D120*LOOKUP($F82,$L1:$M5))&gt;3,3,1-(D140*$I$21*1000)/(D132*$F$89*D120*LOOKUP($F82,$L1:$M5)))</f>
        <v>2.7983320438919543</v>
      </c>
      <c r="E141" s="333">
        <f>IF(1-(E140*$I$21*1000)/(E132*$F$89*E120*LOOKUP($F82,$L1:$M5))&gt;3,3,1-(E140*$I$21*1000)/(E132*$F$89*E120*LOOKUP($F82,$L1:$M5)))</f>
        <v>1.9422150660809794</v>
      </c>
      <c r="F141" s="333">
        <f>IF(1-(F140*$I$21*1000)/(F132*$F$89*F120*LOOKUP($F82,$L1:$M5))&gt;3,3,1-(F140*$I$21*1000)/(F132*$F$89*F120*LOOKUP($F82,$L1:$M5)))</f>
        <v>2.1454597972296119</v>
      </c>
      <c r="G141" s="333">
        <f>IF(1-(G140*$I$21*1000)/(G132*$F$89*G120*LOOKUP($F82,$L1:$M5))&gt;3,3,1-(G140*$I$21*1000)/(G132*$F$89*G120*LOOKUP($F82,$L1:$M5)))</f>
        <v>1.9422150660809794</v>
      </c>
      <c r="H141" s="333">
        <f>IF(1-(H140*$I$21*1000)/(H132*$F$89*H120*LOOKUP($F82,$L1:$M5))&gt;3,3,1-(H140*$I$21*1000)/(H132*$F$89*H120*LOOKUP($F82,$L1:$M5)))</f>
        <v>1.9422150660809794</v>
      </c>
      <c r="I141" s="333">
        <f>IF(1-(I140*$I$21*1000)/(I132*$F$89*I120*LOOKUP($F82,$L1:$M5))&gt;3,3,1-(I140*$I$21*1000)/(I132*$F$89*I120*LOOKUP($F82,$L1:$M5)))</f>
        <v>1.9422150660809794</v>
      </c>
      <c r="J141" s="334">
        <f>IF(1-(J140*$I$21*1000)/(J132*$F$89*J120*LOOKUP($F82,$L1:$M5))&gt;3,3,1-(J140*$I$21*1000)/(J132*$F$89*J120*LOOKUP($F82,$L1:$M5)))</f>
        <v>1.9422150660809794</v>
      </c>
      <c r="K141" s="428"/>
      <c r="L141" s="294"/>
      <c r="M141" s="294"/>
      <c r="N141" s="294"/>
      <c r="O141" s="294"/>
      <c r="P141" s="294"/>
      <c r="Q141" s="1" t="s">
        <v>874</v>
      </c>
      <c r="R141" s="296"/>
      <c r="S141" s="296"/>
      <c r="T141" s="289" t="s">
        <v>429</v>
      </c>
      <c r="U141" s="1" t="s">
        <v>688</v>
      </c>
    </row>
    <row r="142" spans="1:21" ht="15" customHeight="1">
      <c r="A142" s="325" t="s">
        <v>107</v>
      </c>
      <c r="B142" s="335"/>
      <c r="C142" s="328">
        <f t="shared" ref="C142:J142" si="20">IF(0.15*C129*$I$59-0.15&gt;0.9,0.9,0.15*C129*$I$59-0.15)</f>
        <v>0.56651884445479106</v>
      </c>
      <c r="D142" s="328">
        <f t="shared" si="20"/>
        <v>0.60111583986746808</v>
      </c>
      <c r="E142" s="328">
        <f t="shared" si="20"/>
        <v>0.47842859851368036</v>
      </c>
      <c r="F142" s="328">
        <f t="shared" si="20"/>
        <v>0.51242190603024507</v>
      </c>
      <c r="G142" s="328">
        <f t="shared" si="20"/>
        <v>0.47842859851368036</v>
      </c>
      <c r="H142" s="328">
        <f t="shared" si="20"/>
        <v>0.47842859851368036</v>
      </c>
      <c r="I142" s="328">
        <f t="shared" si="20"/>
        <v>0.47842859851368036</v>
      </c>
      <c r="J142" s="329">
        <f t="shared" si="20"/>
        <v>0.47842859851368036</v>
      </c>
      <c r="K142" s="428"/>
      <c r="L142" s="294"/>
      <c r="M142" s="294"/>
      <c r="N142" s="294"/>
      <c r="O142" s="294"/>
      <c r="P142" s="294"/>
      <c r="Q142" s="1" t="s">
        <v>875</v>
      </c>
      <c r="R142" s="296"/>
      <c r="S142" s="296"/>
      <c r="T142" s="289" t="s">
        <v>430</v>
      </c>
      <c r="U142" s="1" t="s">
        <v>689</v>
      </c>
    </row>
    <row r="143" spans="1:21" ht="15" customHeight="1">
      <c r="A143" s="336" t="s">
        <v>108</v>
      </c>
      <c r="B143" s="337"/>
      <c r="C143" s="330">
        <f>IF(1-(C142*$I$21*1000)/(C132*$F$89*C120*LOOKUP($F82,$L1:$M5))&gt;1,1,1-(C142*$I$21*1000)/(C132*$F$89*C120*LOOKUP($F82,$L1:$M5)))</f>
        <v>0.10960946588640108</v>
      </c>
      <c r="D143" s="330">
        <f>IF(1-(D142*$I$21*1000)/(D132*$F$89*D120*LOOKUP($F82,$L1:$M5))&gt;1,1,1-(D142*$I$21*1000)/(D132*$F$89*D120*LOOKUP($F82,$L1:$M5)))</f>
        <v>0.19854537234818159</v>
      </c>
      <c r="E143" s="330">
        <f>IF(1-(E142*$I$21*1000)/(E132*$F$89*E120*LOOKUP($F82,$L1:$M5))&gt;1,1,1-(E142*$I$21*1000)/(E132*$F$89*E120*LOOKUP($F82,$L1:$M5)))</f>
        <v>0.53388748292962451</v>
      </c>
      <c r="F143" s="330">
        <f>IF(1-(F142*$I$21*1000)/(F132*$F$89*F120*LOOKUP($F82,$L1:$M5))&gt;1,1,1-(F142*$I$21*1000)/(F132*$F$89*F120*LOOKUP($F82,$L1:$M5)))</f>
        <v>0.45290696584501022</v>
      </c>
      <c r="G143" s="330">
        <f>IF(1-(G142*$I$21*1000)/(G132*$F$89*G120*LOOKUP($F82,$L1:$M5))&gt;1,1,1-(G142*$I$21*1000)/(G132*$F$89*G120*LOOKUP($F82,$L1:$M5)))</f>
        <v>0.53388748292962451</v>
      </c>
      <c r="H143" s="330">
        <f>IF(1-(H142*$I$21*1000)/(H132*$F$89*H120*LOOKUP($F82,$L1:$M5))&gt;1,1,1-(H142*$I$21*1000)/(H132*$F$89*H120*LOOKUP($F82,$L1:$M5)))</f>
        <v>0.53388748292962451</v>
      </c>
      <c r="I143" s="330">
        <f>IF(1-(I142*$I$21*1000)/(I132*$F$89*I120*LOOKUP($F82,$L1:$M5))&gt;1,1,1-(I142*$I$21*1000)/(I132*$F$89*I120*LOOKUP($F82,$L1:$M5)))</f>
        <v>0.53388748292962451</v>
      </c>
      <c r="J143" s="331">
        <f>IF(1-(J142*$I$21*1000)/(J132*$F$89*J120*LOOKUP($F82,$L1:$M5))&gt;1,1,1-(J142*$I$21*1000)/(J132*$F$89*J120*LOOKUP($F82,$L1:$M5)))</f>
        <v>0.53388748292962451</v>
      </c>
      <c r="K143" s="428"/>
      <c r="L143" s="294"/>
      <c r="M143" s="294"/>
      <c r="N143" s="294"/>
      <c r="O143" s="294"/>
      <c r="P143" s="294"/>
      <c r="Q143" s="44"/>
      <c r="R143" s="296"/>
      <c r="S143" s="296"/>
      <c r="T143" s="289" t="s">
        <v>431</v>
      </c>
      <c r="U143" s="1" t="s">
        <v>690</v>
      </c>
    </row>
    <row r="144" spans="1:21" ht="15" customHeight="1">
      <c r="A144" s="338" t="s">
        <v>109</v>
      </c>
      <c r="B144" s="44"/>
      <c r="C144" s="328">
        <f>IF(C132&lt;C127,($I$21/(C132*$F$89)+C139*$I$40*1000/$E$92+C141*$I$61*1000/$E$93)/(C120*0.001*LOOKUP($F$82,$L$1:$M$5)),($I$21/(C127*$F$89)+C139*$I$40*1000/$E$92+C141*$I$61*1000/$E$93)/(C120*0.001*LOOKUP($F$82,$L$1:$M$5)))</f>
        <v>4.7997525930542428</v>
      </c>
      <c r="D144" s="333">
        <f>IF(D132&lt;D127,($I$21/(D132*$F$89)+D139*$I$40*1000/$E$92+D141*$I$61*1000/$E$93)/(D120*0.001*LOOKUP($F$82,$L$1:$M$5)),($I$21/(D127*$F$89)+D139*$I$40*1000/$E$92+D141*$I$61*1000/$E$93)/(D120*0.001*LOOKUP($F$82,$L$1:$M$5)))</f>
        <v>3.808298376216662</v>
      </c>
      <c r="E144" s="333">
        <f>IF(E132&lt;E127,($I$21/(E132*$F$89)+E139*$I$40*1000/$E$92+E141*$I$61*1000/$E$93)/(E120*0.001*LOOKUP($F$82,$L$1:$M$5)),($I$21/(E127*$F$89)+E139*$I$40*1000/$E$92+E141*$I$61*1000/$E$93)/(E120*0.001*LOOKUP($F$82,$L$1:$M$5)))</f>
        <v>3.1012078751515717</v>
      </c>
      <c r="F144" s="333">
        <f>IF(F132&lt;F127,($I$21/(F132*$F$89)+F139*$I$40*1000/$E$92+F141*$I$61*1000/$E$93)/(F120*0.001*LOOKUP($F$82,$L$1:$M$5)),($I$21/(F127*$F$89)+F139*$I$40*1000/$E$92+F141*$I$61*1000/$E$93)/(F120*0.001*LOOKUP($F$82,$L$1:$M$5)))</f>
        <v>3.3590248681097257</v>
      </c>
      <c r="G144" s="333">
        <f>IF(G132&lt;G127,($I$21/(G132*$F$89)+G139*$I$40*1000/$E$92+G141*$I$61*1000/$E$93)/(G120*0.001*LOOKUP($F$82,$L$1:$M$5)),($I$21/(G127*$F$89)+G139*$I$40*1000/$E$92+G141*$I$61*1000/$E$93)/(G120*0.001*LOOKUP($F$82,$L$1:$M$5)))</f>
        <v>3.1012078751515717</v>
      </c>
      <c r="H144" s="333">
        <f>IF(H132&lt;H127,($I$21/(H132*$F$89)+H139*$I$40*1000/$E$92+H141*$I$61*1000/$E$93)/(H120*0.001*LOOKUP($F$82,$L$1:$M$5)),($I$21/(H127*$F$89)+H139*$I$40*1000/$E$92+H141*$I$61*1000/$E$93)/(H120*0.001*LOOKUP($F$82,$L$1:$M$5)))</f>
        <v>3.1012078751515717</v>
      </c>
      <c r="I144" s="333">
        <f>IF(I132&lt;I127,($I$21/(I132*$F$89)+I139*$I$40*1000/$E$92+I141*$I$61*1000/$E$93)/(I120*0.001*LOOKUP($F$82,$L$1:$M$5)),($I$21/(I127*$F$89)+I139*$I$40*1000/$E$92+I141*$I$61*1000/$E$93)/(I120*0.001*LOOKUP($F$82,$L$1:$M$5)))</f>
        <v>3.1012078751515717</v>
      </c>
      <c r="J144" s="334">
        <f>IF(J132&lt;J127,($I$21/(J132*$F$89)+J139*$I$40*1000/$E$92+J141*$I$61*1000/$E$93)/(J120*0.001*LOOKUP($F$82,$L$1:$M$5)),($I$21/(J127*$F$89)+J139*$I$40*1000/$E$92+J141*$I$61*1000/$E$93)/(J120*0.001*LOOKUP($F$82,$L$1:$M$5)))</f>
        <v>3.1012078751515717</v>
      </c>
      <c r="K144" s="428"/>
      <c r="L144" s="294"/>
      <c r="M144" s="294"/>
      <c r="N144" s="294"/>
      <c r="O144" s="294"/>
      <c r="P144" s="294"/>
      <c r="Q144" s="1" t="s">
        <v>184</v>
      </c>
      <c r="R144" s="296"/>
      <c r="S144" s="296"/>
      <c r="T144" s="289" t="s">
        <v>432</v>
      </c>
      <c r="U144" s="1" t="s">
        <v>691</v>
      </c>
    </row>
    <row r="145" spans="1:24" ht="15" customHeight="1">
      <c r="A145" s="339" t="s">
        <v>0</v>
      </c>
      <c r="B145" s="340"/>
      <c r="C145" s="341">
        <f>($I$21/(C132*$F$89)+C143*$I$40*1000/(C137*$E$92)+C141*$I$61*1000/$E$93)/(C120*0.001*LOOKUP($F$82,$L$1:$M$5))</f>
        <v>2.7149241666995914</v>
      </c>
      <c r="D145" s="342">
        <f>($I$21/(D132*$F$89)+D143*$I$40*1000/(D137*$E$92)+D141*$I$61*1000/$E$93)/(D120*0.001*LOOKUP($F$82,$L$1:$M$5))</f>
        <v>2.2321685433542333</v>
      </c>
      <c r="E145" s="342">
        <f>($I$21/(E132*$F$89)+E143*$I$40*1000/(E137*$E$92)+E141*$I$61*1000/$E$93)/(E120*0.001*LOOKUP($F$82,$L$1:$M$5))</f>
        <v>1.8209843180392566</v>
      </c>
      <c r="F145" s="342">
        <f>($I$21/(F132*$F$89)+F143*$I$40*1000/(F137*$E$92)+F141*$I$61*1000/$E$93)/(F120*0.001*LOOKUP($F$82,$L$1:$M$5))</f>
        <v>1.9260017241394234</v>
      </c>
      <c r="G145" s="342">
        <f>($I$21/(G132*$F$89)+G143*$I$40*1000/(G137*$E$92)+G141*$I$61*1000/$E$93)/(G120*0.001*LOOKUP($F$82,$L$1:$M$5))</f>
        <v>1.8209843180392566</v>
      </c>
      <c r="H145" s="342">
        <f>($I$21/(H132*$F$89)+H143*$I$40*1000/(H137*$E$92)+H141*$I$61*1000/$E$93)/(H120*0.001*LOOKUP($F$82,$L$1:$M$5))</f>
        <v>1.8209843180392566</v>
      </c>
      <c r="I145" s="342">
        <f>($I$21/(I132*$F$89)+I143*$I$40*1000/(I137*$E$92)+I141*$I$61*1000/$E$93)/(I120*0.001*LOOKUP($F$82,$L$1:$M$5))</f>
        <v>1.8209843180392566</v>
      </c>
      <c r="J145" s="343">
        <f>($I$21/(J132*$F$89)+J143*$I$40*1000/(J137*$E$92)+J141*$I$61*1000/$E$93)/(J120*0.001*LOOKUP($F$82,$L$1:$M$5))</f>
        <v>1.8209843180392566</v>
      </c>
      <c r="K145" s="428"/>
      <c r="L145" s="294"/>
      <c r="M145" s="294"/>
      <c r="N145" s="294"/>
      <c r="O145" s="294"/>
      <c r="P145" s="294"/>
      <c r="Q145" s="1" t="s">
        <v>185</v>
      </c>
      <c r="R145" s="296"/>
      <c r="S145" s="296"/>
      <c r="T145" s="289" t="s">
        <v>433</v>
      </c>
      <c r="U145" s="1" t="s">
        <v>692</v>
      </c>
    </row>
    <row r="146" spans="1:24" ht="15" customHeight="1" thickBot="1">
      <c r="A146" s="344" t="s">
        <v>102</v>
      </c>
      <c r="B146" s="345"/>
      <c r="C146" s="346">
        <f>IF(C145&gt;C144,C145,C144)</f>
        <v>4.7997525930542428</v>
      </c>
      <c r="D146" s="346">
        <f t="shared" ref="D146:J146" si="21">IF(D145&gt;D144,D145,D144)</f>
        <v>3.808298376216662</v>
      </c>
      <c r="E146" s="346">
        <f t="shared" si="21"/>
        <v>3.1012078751515717</v>
      </c>
      <c r="F146" s="346">
        <f t="shared" si="21"/>
        <v>3.3590248681097257</v>
      </c>
      <c r="G146" s="346">
        <f t="shared" si="21"/>
        <v>3.1012078751515717</v>
      </c>
      <c r="H146" s="346">
        <f t="shared" si="21"/>
        <v>3.1012078751515717</v>
      </c>
      <c r="I146" s="346">
        <f t="shared" si="21"/>
        <v>3.1012078751515717</v>
      </c>
      <c r="J146" s="347">
        <f t="shared" si="21"/>
        <v>3.1012078751515717</v>
      </c>
      <c r="K146" s="428"/>
      <c r="L146" s="294"/>
      <c r="M146" s="294"/>
      <c r="N146" s="294"/>
      <c r="O146" s="294"/>
      <c r="P146" s="294"/>
      <c r="Q146" s="1" t="s">
        <v>186</v>
      </c>
      <c r="R146" s="296"/>
      <c r="S146" s="296"/>
      <c r="T146" s="289" t="s">
        <v>434</v>
      </c>
      <c r="U146" s="1" t="s">
        <v>693</v>
      </c>
    </row>
    <row r="147" spans="1:24" ht="15" hidden="1" customHeight="1">
      <c r="A147" s="338" t="s">
        <v>103</v>
      </c>
      <c r="B147" s="44"/>
      <c r="C147" s="333">
        <f>($I$21/(C132*$F$89)/(C120*0.001*LOOKUP($F$82,$L$1:$M$5)))</f>
        <v>1.5716874078045839</v>
      </c>
      <c r="D147" s="333">
        <f>($I$21/(D132*$F$89)/(D120*0.001*LOOKUP($F$82,$L$1:$M$5)))</f>
        <v>1.3332781711899662</v>
      </c>
      <c r="E147" s="333">
        <f>($I$21/(E132*$F$89)/(E120*0.001*LOOKUP($F$82,$L$1:$M$5)))</f>
        <v>0.97425722149226257</v>
      </c>
      <c r="F147" s="333">
        <f>($I$21/(F132*$F$89)/(F120*0.001*LOOKUP($F$82,$L$1:$M$5)))</f>
        <v>1.0676612918314585</v>
      </c>
      <c r="G147" s="333">
        <f>($I$21/(G132*$F$89)/(G120*0.001*LOOKUP($F$82,$L$1:$M$5)))</f>
        <v>0.97425722149226257</v>
      </c>
      <c r="H147" s="333">
        <f>($I$21/(H132*$F$89)/(H120*0.001*LOOKUP($F$82,$L$1:$M$5)))</f>
        <v>0.97425722149226257</v>
      </c>
      <c r="I147" s="333">
        <f>($I$21/(I132*$F$89)/(I120*0.001*LOOKUP($F$82,$L$1:$M$5)))</f>
        <v>0.97425722149226257</v>
      </c>
      <c r="J147" s="334">
        <f>($I$21/(J132*$F$89)/(J120*0.001*LOOKUP($F$82,$L$1:$M$5)))</f>
        <v>0.97425722149226257</v>
      </c>
      <c r="K147" s="428"/>
      <c r="L147" s="294"/>
      <c r="M147" s="294"/>
      <c r="N147" s="294"/>
      <c r="O147" s="294"/>
      <c r="P147" s="294"/>
      <c r="Q147" s="1" t="s">
        <v>187</v>
      </c>
      <c r="R147" s="296"/>
      <c r="S147" s="296"/>
      <c r="T147" s="289" t="s">
        <v>435</v>
      </c>
      <c r="U147" s="1" t="s">
        <v>694</v>
      </c>
    </row>
    <row r="148" spans="1:24" ht="15" hidden="1" customHeight="1">
      <c r="A148" s="338" t="s">
        <v>104</v>
      </c>
      <c r="B148" s="44"/>
      <c r="C148" s="333">
        <f>(C143*$I$40*1000/(C137*$E$92))/(C120*0.001*LOOKUP($F$82,$L$1:$M$5))</f>
        <v>7.9060918440074804E-2</v>
      </c>
      <c r="D148" s="333">
        <f>(D143*$I$40*1000/(D137*$E$92))/(D120*0.001*LOOKUP($F$82,$L$1:$M$5))</f>
        <v>0.11170385607745827</v>
      </c>
      <c r="E148" s="333">
        <f>(E143*$I$40*1000/(E137*$E$92))/(E120*0.001*LOOKUP($F$82,$L$1:$M$5))</f>
        <v>0.30037109326397976</v>
      </c>
      <c r="F148" s="333">
        <f>(F143*$I$40*1000/(F137*$E$92))/(F120*0.001*LOOKUP($F$82,$L$1:$M$5))</f>
        <v>0.25481054496958505</v>
      </c>
      <c r="G148" s="333">
        <f>(G143*$I$40*1000/(G137*$E$92))/(G120*0.001*LOOKUP($F$82,$L$1:$M$5))</f>
        <v>0.30037109326397976</v>
      </c>
      <c r="H148" s="333">
        <f>(H143*$I$40*1000/(H137*$E$92))/(H120*0.001*LOOKUP($F$82,$L$1:$M$5))</f>
        <v>0.30037109326397976</v>
      </c>
      <c r="I148" s="333">
        <f>(I143*$I$40*1000/(I137*$E$92))/(I120*0.001*LOOKUP($F$82,$L$1:$M$5))</f>
        <v>0.30037109326397976</v>
      </c>
      <c r="J148" s="334">
        <f>(J143*$I$40*1000/(J137*$E$92))/(J120*0.001*LOOKUP($F$82,$L$1:$M$5))</f>
        <v>0.30037109326397976</v>
      </c>
      <c r="K148" s="428"/>
      <c r="L148" s="294"/>
      <c r="M148" s="294"/>
      <c r="N148" s="294"/>
      <c r="O148" s="294"/>
      <c r="P148" s="294"/>
      <c r="Q148" s="1" t="s">
        <v>188</v>
      </c>
      <c r="R148" s="296"/>
      <c r="S148" s="296"/>
      <c r="T148" s="289" t="s">
        <v>436</v>
      </c>
      <c r="U148" s="1" t="s">
        <v>695</v>
      </c>
    </row>
    <row r="149" spans="1:24" ht="15" hidden="1" customHeight="1" thickBot="1">
      <c r="A149" s="348" t="s">
        <v>1</v>
      </c>
      <c r="B149" s="123"/>
      <c r="C149" s="349">
        <f>(C141*$I$61*1000/$E$93)/(C120*0.001*LOOKUP($F$82,$L$1:$M$5))</f>
        <v>1.0641758404549329</v>
      </c>
      <c r="D149" s="349">
        <f>(D141*$I$61*1000/$E$93)/(D120*0.001*LOOKUP($F$82,$L$1:$M$5))</f>
        <v>0.78718651608680867</v>
      </c>
      <c r="E149" s="349">
        <f>(E141*$I$61*1000/$E$93)/(E120*0.001*LOOKUP($F$82,$L$1:$M$5))</f>
        <v>0.54635600328301437</v>
      </c>
      <c r="F149" s="349">
        <f>(F141*$I$61*1000/$E$93)/(F120*0.001*LOOKUP($F$82,$L$1:$M$5))</f>
        <v>0.60352988733837976</v>
      </c>
      <c r="G149" s="349">
        <f>(G141*$I$61*1000/$E$93)/(G120*0.001*LOOKUP($F$82,$L$1:$M$5))</f>
        <v>0.54635600328301437</v>
      </c>
      <c r="H149" s="349">
        <f>(H141*$I$61*1000/$E$93)/(H120*0.001*LOOKUP($F$82,$L$1:$M$5))</f>
        <v>0.54635600328301437</v>
      </c>
      <c r="I149" s="349">
        <f>(I141*$I$61*1000/$E$93)/(I120*0.001*LOOKUP($F$82,$L$1:$M$5))</f>
        <v>0.54635600328301437</v>
      </c>
      <c r="J149" s="350">
        <f>(J141*$I$61*1000/$E$93)/(J120*0.001*LOOKUP($F$82,$L$1:$M$5))</f>
        <v>0.54635600328301437</v>
      </c>
      <c r="K149" s="428"/>
      <c r="L149" s="294"/>
      <c r="M149" s="294"/>
      <c r="N149" s="294"/>
      <c r="O149" s="294"/>
      <c r="P149" s="294"/>
      <c r="Q149" s="1" t="s">
        <v>189</v>
      </c>
      <c r="R149" s="296"/>
      <c r="S149" s="296"/>
      <c r="T149" s="289" t="s">
        <v>437</v>
      </c>
      <c r="U149" s="1" t="s">
        <v>696</v>
      </c>
    </row>
    <row r="150" spans="1:24" ht="15" hidden="1" customHeight="1">
      <c r="A150" s="44"/>
      <c r="B150" s="284"/>
      <c r="C150" s="351">
        <f>VLOOKUP(C119,'ky-kE-kp'!$A$3:$E$15,1)</f>
        <v>500</v>
      </c>
      <c r="D150" s="351">
        <f>VLOOKUP(D119,'ky-kE-kp'!$A$3:$E$15,1)</f>
        <v>400</v>
      </c>
      <c r="E150" s="351">
        <f>VLOOKUP(E119,'ky-kE-kp'!$A$3:$E$15,1)</f>
        <v>0</v>
      </c>
      <c r="F150" s="351">
        <f>VLOOKUP(F119,'ky-kE-kp'!$A$3:$E$15,1)</f>
        <v>200</v>
      </c>
      <c r="G150" s="351">
        <f>VLOOKUP(G119,'ky-kE-kp'!$A$3:$E$15,1)</f>
        <v>100</v>
      </c>
      <c r="H150" s="351">
        <f>VLOOKUP(H119,'ky-kE-kp'!$A$3:$E$15,1)</f>
        <v>0</v>
      </c>
      <c r="I150" s="351">
        <f>VLOOKUP(I119,'ky-kE-kp'!$A$3:$E$15,1)</f>
        <v>0</v>
      </c>
      <c r="J150" s="351">
        <f>VLOOKUP(J119,'ky-kE-kp'!$A$3:$E$15,1)</f>
        <v>0</v>
      </c>
      <c r="K150" s="429"/>
      <c r="L150" s="294"/>
      <c r="M150" s="294"/>
      <c r="N150" s="294"/>
      <c r="O150" s="294"/>
      <c r="P150" s="294"/>
      <c r="Q150" s="1" t="s">
        <v>147</v>
      </c>
      <c r="R150" s="296"/>
      <c r="S150" s="296"/>
      <c r="T150" s="289" t="s">
        <v>438</v>
      </c>
      <c r="U150" s="1" t="s">
        <v>697</v>
      </c>
    </row>
    <row r="151" spans="1:24" ht="15" hidden="1" customHeight="1">
      <c r="A151" s="44"/>
      <c r="B151" s="284"/>
      <c r="C151" s="352">
        <f>VLOOKUP(C119,'ky-kE-kp'!$A$3:$E$15,2)</f>
        <v>0.78</v>
      </c>
      <c r="D151" s="352">
        <f>VLOOKUP(D119,'ky-kE-kp'!$A$3:$E$15,2)</f>
        <v>1</v>
      </c>
      <c r="E151" s="352">
        <f>VLOOKUP(E119,'ky-kE-kp'!$A$3:$E$15,2)</f>
        <v>1</v>
      </c>
      <c r="F151" s="352">
        <f>VLOOKUP(F119,'ky-kE-kp'!$A$3:$E$15,2)</f>
        <v>1</v>
      </c>
      <c r="G151" s="352">
        <f>VLOOKUP(G119,'ky-kE-kp'!$A$3:$E$15,2)</f>
        <v>1</v>
      </c>
      <c r="H151" s="352">
        <f>VLOOKUP(H119,'ky-kE-kp'!$A$3:$E$15,2)</f>
        <v>1</v>
      </c>
      <c r="I151" s="352">
        <f>VLOOKUP(I119,'ky-kE-kp'!$A$3:$E$15,2)</f>
        <v>1</v>
      </c>
      <c r="J151" s="352">
        <f>VLOOKUP(J119,'ky-kE-kp'!$A$3:$E$15,2)</f>
        <v>1</v>
      </c>
      <c r="K151" s="430"/>
      <c r="L151" s="294"/>
      <c r="M151" s="294"/>
      <c r="N151" s="294"/>
      <c r="O151" s="294"/>
      <c r="P151" s="294"/>
      <c r="Q151" s="1" t="s">
        <v>148</v>
      </c>
      <c r="R151" s="296"/>
      <c r="S151" s="296"/>
      <c r="T151" s="289" t="s">
        <v>439</v>
      </c>
      <c r="U151" s="1" t="s">
        <v>698</v>
      </c>
    </row>
    <row r="152" spans="1:24" ht="15" hidden="1" customHeight="1">
      <c r="A152" s="44"/>
      <c r="B152" s="284"/>
      <c r="C152" s="352">
        <f>VLOOKUP(C119,'ky-kE-kp'!$A$3:$E$15,4)</f>
        <v>0.6</v>
      </c>
      <c r="D152" s="352">
        <f>VLOOKUP(D119,'ky-kE-kp'!$A$3:$E$15,4)</f>
        <v>0.7</v>
      </c>
      <c r="E152" s="352">
        <f>VLOOKUP(E119,'ky-kE-kp'!$A$3:$E$15,4)</f>
        <v>1</v>
      </c>
      <c r="F152" s="352">
        <f>VLOOKUP(F119,'ky-kE-kp'!$A$3:$E$15,4)</f>
        <v>0.9</v>
      </c>
      <c r="G152" s="352">
        <f>VLOOKUP(G119,'ky-kE-kp'!$A$3:$E$15,4)</f>
        <v>1</v>
      </c>
      <c r="H152" s="352">
        <f>VLOOKUP(H119,'ky-kE-kp'!$A$3:$E$15,4)</f>
        <v>1</v>
      </c>
      <c r="I152" s="352">
        <f>VLOOKUP(I119,'ky-kE-kp'!$A$3:$E$15,4)</f>
        <v>1</v>
      </c>
      <c r="J152" s="352">
        <f>VLOOKUP(J119,'ky-kE-kp'!$A$3:$E$15,4)</f>
        <v>1</v>
      </c>
      <c r="K152" s="430"/>
      <c r="L152" s="296"/>
      <c r="M152" s="296"/>
      <c r="N152" s="296"/>
      <c r="O152" s="296"/>
      <c r="P152" s="296"/>
      <c r="Q152" s="1" t="s">
        <v>149</v>
      </c>
      <c r="R152" s="296"/>
      <c r="S152" s="296"/>
      <c r="T152" s="289" t="s">
        <v>440</v>
      </c>
      <c r="U152" s="1" t="s">
        <v>699</v>
      </c>
      <c r="W152" s="44"/>
      <c r="X152" s="44"/>
    </row>
    <row r="153" spans="1:24" ht="15" hidden="1" customHeight="1">
      <c r="C153" s="353">
        <f>VLOOKUP(C119+100,'ky-kE-kp'!$A$3:$E$15,2)</f>
        <v>0.47</v>
      </c>
      <c r="D153" s="353">
        <f>VLOOKUP(D119+100,'ky-kE-kp'!$A$3:$E$15,2)</f>
        <v>0.78</v>
      </c>
      <c r="E153" s="353">
        <f>VLOOKUP(E119+100,'ky-kE-kp'!$A$3:$E$15,2)</f>
        <v>1</v>
      </c>
      <c r="F153" s="353">
        <f>VLOOKUP(F119+100,'ky-kE-kp'!$A$3:$E$15,2)</f>
        <v>1</v>
      </c>
      <c r="G153" s="353">
        <f>VLOOKUP(G119+100,'ky-kE-kp'!$A$3:$E$15,2)</f>
        <v>1</v>
      </c>
      <c r="H153" s="353">
        <f>VLOOKUP(H119+100,'ky-kE-kp'!$A$3:$E$15,2)</f>
        <v>1</v>
      </c>
      <c r="I153" s="353">
        <f>VLOOKUP(I119+100,'ky-kE-kp'!$A$3:$E$15,2)</f>
        <v>1</v>
      </c>
      <c r="J153" s="353">
        <f>VLOOKUP(J119+100,'ky-kE-kp'!$A$3:$E$15,2)</f>
        <v>1</v>
      </c>
      <c r="K153" s="431"/>
      <c r="L153" s="296"/>
      <c r="M153" s="296"/>
      <c r="N153" s="296"/>
      <c r="O153" s="296"/>
      <c r="P153" s="296"/>
      <c r="Q153" s="1" t="s">
        <v>203</v>
      </c>
      <c r="R153" s="296"/>
      <c r="S153" s="296"/>
      <c r="T153" s="289" t="s">
        <v>441</v>
      </c>
      <c r="U153" s="1" t="s">
        <v>700</v>
      </c>
      <c r="W153" s="44"/>
      <c r="X153" s="44"/>
    </row>
    <row r="154" spans="1:24" ht="15" hidden="1" customHeight="1">
      <c r="C154" s="353">
        <f>VLOOKUP(C119+100,'ky-kE-kp'!$A$3:$E$15,4)</f>
        <v>0.31</v>
      </c>
      <c r="D154" s="353">
        <f>VLOOKUP(D119+100,'ky-kE-kp'!$A$3:$E$15,4)</f>
        <v>0.6</v>
      </c>
      <c r="E154" s="353">
        <f>VLOOKUP(E119+100,'ky-kE-kp'!$A$3:$E$15,4)</f>
        <v>1</v>
      </c>
      <c r="F154" s="353">
        <f>VLOOKUP(F119+100,'ky-kE-kp'!$A$3:$E$15,4)</f>
        <v>0.8</v>
      </c>
      <c r="G154" s="353">
        <f>VLOOKUP(G119+100,'ky-kE-kp'!$A$3:$E$15,4)</f>
        <v>0.9</v>
      </c>
      <c r="H154" s="353">
        <f>VLOOKUP(H119+100,'ky-kE-kp'!$A$3:$E$15,4)</f>
        <v>1</v>
      </c>
      <c r="I154" s="353">
        <f>VLOOKUP(I119+100,'ky-kE-kp'!$A$3:$E$15,4)</f>
        <v>1</v>
      </c>
      <c r="J154" s="353">
        <f>VLOOKUP(J119+100,'ky-kE-kp'!$A$3:$E$15,4)</f>
        <v>1</v>
      </c>
      <c r="K154" s="431"/>
      <c r="L154" s="296"/>
      <c r="M154" s="296"/>
      <c r="N154" s="296"/>
      <c r="O154" s="296"/>
      <c r="P154" s="296"/>
      <c r="Q154" s="1" t="s">
        <v>204</v>
      </c>
      <c r="R154" s="296"/>
      <c r="S154" s="296"/>
      <c r="T154" s="289" t="s">
        <v>442</v>
      </c>
      <c r="U154" s="1" t="s">
        <v>701</v>
      </c>
      <c r="W154" s="44"/>
      <c r="X154" s="44"/>
    </row>
    <row r="155" spans="1:24" ht="15" hidden="1" customHeight="1">
      <c r="C155" s="354">
        <f t="shared" ref="C155:J155" si="22">C149+C148+C147</f>
        <v>2.7149241666995918</v>
      </c>
      <c r="D155" s="354">
        <f t="shared" si="22"/>
        <v>2.2321685433542333</v>
      </c>
      <c r="E155" s="354">
        <f t="shared" si="22"/>
        <v>1.8209843180392569</v>
      </c>
      <c r="F155" s="354">
        <f t="shared" si="22"/>
        <v>1.9260017241394234</v>
      </c>
      <c r="G155" s="354">
        <f t="shared" si="22"/>
        <v>1.8209843180392569</v>
      </c>
      <c r="H155" s="354">
        <f t="shared" si="22"/>
        <v>1.8209843180392569</v>
      </c>
      <c r="I155" s="354">
        <f t="shared" si="22"/>
        <v>1.8209843180392569</v>
      </c>
      <c r="J155" s="354">
        <f t="shared" si="22"/>
        <v>1.8209843180392569</v>
      </c>
      <c r="K155" s="432"/>
      <c r="L155" s="296"/>
      <c r="M155" s="296"/>
      <c r="N155" s="296"/>
      <c r="O155" s="296"/>
      <c r="P155" s="296"/>
      <c r="Q155" s="1" t="s">
        <v>205</v>
      </c>
      <c r="R155" s="296"/>
      <c r="S155" s="296"/>
      <c r="T155" s="289" t="s">
        <v>443</v>
      </c>
      <c r="U155" s="1" t="s">
        <v>702</v>
      </c>
      <c r="W155" s="44"/>
      <c r="X155" s="44"/>
    </row>
    <row r="156" spans="1:24" s="44" customFormat="1" ht="15" customHeight="1">
      <c r="A156" s="1"/>
      <c r="B156" s="32"/>
      <c r="C156" s="296"/>
      <c r="D156" s="296"/>
      <c r="E156" s="296"/>
      <c r="F156" s="296"/>
      <c r="G156" s="296"/>
      <c r="H156" s="296"/>
      <c r="I156" s="296"/>
      <c r="J156" s="296"/>
      <c r="K156" s="296"/>
      <c r="L156" s="310"/>
      <c r="M156" s="310"/>
      <c r="N156" s="310"/>
      <c r="O156" s="310"/>
      <c r="P156" s="310"/>
      <c r="Q156" s="1" t="s">
        <v>206</v>
      </c>
      <c r="R156" s="296"/>
      <c r="S156" s="296"/>
      <c r="T156" s="289" t="s">
        <v>444</v>
      </c>
      <c r="U156" s="1" t="s">
        <v>703</v>
      </c>
      <c r="V156" s="1"/>
    </row>
    <row r="157" spans="1:24" s="44" customFormat="1" ht="15" hidden="1" customHeight="1">
      <c r="A157" s="1"/>
      <c r="B157" s="32"/>
      <c r="C157" s="296"/>
      <c r="D157" s="296"/>
      <c r="E157" s="296"/>
      <c r="F157" s="296"/>
      <c r="G157" s="296"/>
      <c r="H157" s="296"/>
      <c r="I157" s="296"/>
      <c r="J157" s="296"/>
      <c r="K157" s="296"/>
      <c r="L157" s="310"/>
      <c r="M157" s="310"/>
      <c r="N157" s="310"/>
      <c r="O157" s="310"/>
      <c r="P157" s="310"/>
      <c r="Q157" s="1" t="s">
        <v>207</v>
      </c>
      <c r="R157" s="296"/>
      <c r="S157" s="296"/>
      <c r="T157" s="289" t="s">
        <v>445</v>
      </c>
      <c r="U157" s="1" t="s">
        <v>704</v>
      </c>
      <c r="V157" s="1"/>
    </row>
    <row r="158" spans="1:24" s="44" customFormat="1" ht="15" hidden="1" customHeight="1">
      <c r="L158" s="310"/>
      <c r="M158" s="310"/>
      <c r="N158" s="310"/>
      <c r="O158" s="310"/>
      <c r="P158" s="310"/>
      <c r="Q158" s="1" t="s">
        <v>208</v>
      </c>
      <c r="R158" s="296"/>
      <c r="S158" s="296"/>
      <c r="T158" s="84" t="s">
        <v>446</v>
      </c>
      <c r="U158" s="1" t="s">
        <v>705</v>
      </c>
      <c r="V158" s="1"/>
    </row>
    <row r="159" spans="1:24" s="44" customFormat="1" hidden="1">
      <c r="L159" s="320"/>
      <c r="M159" s="320"/>
      <c r="N159" s="320"/>
      <c r="O159" s="320"/>
      <c r="P159" s="320"/>
      <c r="Q159" s="1" t="s">
        <v>209</v>
      </c>
      <c r="R159" s="296"/>
      <c r="S159" s="296"/>
      <c r="T159" s="84" t="s">
        <v>447</v>
      </c>
      <c r="U159" s="1" t="s">
        <v>706</v>
      </c>
      <c r="V159" s="1"/>
      <c r="W159" s="1"/>
      <c r="X159" s="1"/>
    </row>
    <row r="160" spans="1:24" s="44" customFormat="1" hidden="1">
      <c r="L160" s="320"/>
      <c r="M160" s="320"/>
      <c r="N160" s="320"/>
      <c r="O160" s="320"/>
      <c r="P160" s="320"/>
      <c r="Q160" s="1" t="s">
        <v>210</v>
      </c>
      <c r="R160" s="296"/>
      <c r="S160" s="296"/>
      <c r="T160" s="110" t="s">
        <v>448</v>
      </c>
      <c r="U160" s="1" t="s">
        <v>707</v>
      </c>
      <c r="V160" s="1"/>
      <c r="W160" s="296"/>
      <c r="X160" s="296"/>
    </row>
    <row r="161" spans="1:27" hidden="1">
      <c r="L161" s="321"/>
      <c r="M161" s="321"/>
      <c r="N161" s="321"/>
      <c r="O161" s="321"/>
      <c r="P161" s="321"/>
      <c r="Q161" s="1" t="s">
        <v>211</v>
      </c>
      <c r="R161" s="296"/>
      <c r="S161" s="296"/>
      <c r="T161" s="84" t="s">
        <v>449</v>
      </c>
      <c r="U161" s="1" t="s">
        <v>708</v>
      </c>
      <c r="W161" s="296"/>
      <c r="X161" s="296"/>
    </row>
    <row r="162" spans="1:27" hidden="1">
      <c r="L162" s="321"/>
      <c r="M162" s="321"/>
      <c r="N162" s="321"/>
      <c r="O162" s="321"/>
      <c r="P162" s="321"/>
      <c r="R162" s="296"/>
      <c r="S162" s="296"/>
      <c r="T162" s="84" t="s">
        <v>450</v>
      </c>
      <c r="U162" s="1" t="s">
        <v>709</v>
      </c>
      <c r="W162" s="296"/>
      <c r="X162" s="296"/>
    </row>
    <row r="163" spans="1:27" hidden="1">
      <c r="L163" s="296"/>
      <c r="M163" s="296"/>
      <c r="N163" s="296"/>
      <c r="O163" s="296"/>
      <c r="P163" s="296"/>
      <c r="R163" s="296"/>
      <c r="S163" s="296"/>
      <c r="T163" s="84" t="s">
        <v>451</v>
      </c>
      <c r="U163" s="1" t="s">
        <v>710</v>
      </c>
      <c r="W163" s="296"/>
      <c r="X163" s="296"/>
    </row>
    <row r="164" spans="1:27" hidden="1">
      <c r="L164" s="296"/>
      <c r="M164" s="296"/>
      <c r="N164" s="296"/>
      <c r="O164" s="296"/>
      <c r="P164" s="296"/>
      <c r="R164" s="296"/>
      <c r="S164" s="296"/>
      <c r="T164" s="84" t="s">
        <v>452</v>
      </c>
      <c r="U164" s="1" t="s">
        <v>711</v>
      </c>
      <c r="V164" s="44"/>
      <c r="W164" s="296"/>
      <c r="X164" s="296"/>
      <c r="Y164" s="296"/>
      <c r="Z164" s="296"/>
      <c r="AA164" s="296"/>
    </row>
    <row r="165" spans="1:27" hidden="1">
      <c r="L165" s="296"/>
      <c r="M165" s="296"/>
      <c r="N165" s="296"/>
      <c r="O165" s="296"/>
      <c r="P165" s="296"/>
      <c r="R165" s="296"/>
      <c r="S165" s="296"/>
      <c r="T165" s="84" t="s">
        <v>453</v>
      </c>
      <c r="U165" s="1" t="s">
        <v>712</v>
      </c>
      <c r="V165" s="44"/>
      <c r="W165" s="296"/>
      <c r="X165" s="296"/>
      <c r="Y165" s="296"/>
      <c r="Z165" s="296"/>
      <c r="AA165" s="296"/>
    </row>
    <row r="166" spans="1:27" hidden="1">
      <c r="L166" s="296"/>
      <c r="M166" s="296"/>
      <c r="N166" s="296"/>
      <c r="O166" s="296"/>
      <c r="P166" s="296"/>
      <c r="R166" s="296"/>
      <c r="S166" s="296"/>
      <c r="T166" s="84" t="s">
        <v>454</v>
      </c>
      <c r="U166" s="1" t="s">
        <v>713</v>
      </c>
      <c r="V166" s="44"/>
      <c r="W166" s="296"/>
      <c r="X166" s="296"/>
      <c r="Y166" s="296"/>
      <c r="Z166" s="296"/>
      <c r="AA166" s="296"/>
    </row>
    <row r="167" spans="1:27" hidden="1">
      <c r="L167" s="296"/>
      <c r="M167" s="296"/>
      <c r="N167" s="296"/>
      <c r="O167" s="296"/>
      <c r="P167" s="296"/>
      <c r="R167" s="296"/>
      <c r="S167" s="296"/>
      <c r="T167" s="84" t="s">
        <v>455</v>
      </c>
      <c r="U167" s="1" t="s">
        <v>714</v>
      </c>
      <c r="V167" s="44"/>
      <c r="W167" s="296"/>
      <c r="X167" s="296"/>
      <c r="Y167" s="296"/>
      <c r="Z167" s="296"/>
      <c r="AA167" s="296"/>
    </row>
    <row r="168" spans="1:27" hidden="1">
      <c r="L168" s="296"/>
      <c r="M168" s="296"/>
      <c r="N168" s="296"/>
      <c r="O168" s="296"/>
      <c r="P168" s="296"/>
      <c r="R168" s="296"/>
      <c r="S168" s="296"/>
      <c r="T168" s="84" t="s">
        <v>456</v>
      </c>
      <c r="U168" s="1" t="s">
        <v>715</v>
      </c>
      <c r="V168" s="44"/>
      <c r="W168" s="296"/>
      <c r="X168" s="296"/>
      <c r="Y168" s="296"/>
      <c r="Z168" s="296"/>
      <c r="AA168" s="296"/>
    </row>
    <row r="169" spans="1:27" ht="15" customHeight="1" thickBot="1">
      <c r="J169" s="296"/>
      <c r="K169" s="296"/>
      <c r="L169" s="296"/>
      <c r="M169" s="296"/>
      <c r="N169" s="296"/>
      <c r="O169" s="296"/>
      <c r="P169" s="296"/>
      <c r="R169" s="296"/>
      <c r="S169" s="296"/>
      <c r="T169" s="84" t="s">
        <v>457</v>
      </c>
      <c r="U169" s="1" t="s">
        <v>716</v>
      </c>
      <c r="V169" s="44"/>
      <c r="W169" s="296"/>
      <c r="X169" s="296"/>
      <c r="Y169" s="296"/>
      <c r="Z169" s="296"/>
      <c r="AA169" s="296"/>
    </row>
    <row r="170" spans="1:27" ht="15" customHeight="1">
      <c r="A170" s="297"/>
      <c r="B170" s="298"/>
      <c r="C170" s="388" t="s">
        <v>80</v>
      </c>
      <c r="D170" s="389"/>
      <c r="E170" s="389"/>
      <c r="F170" s="389"/>
      <c r="G170" s="389"/>
      <c r="H170" s="389"/>
      <c r="I170" s="390"/>
      <c r="J170" s="296"/>
      <c r="K170" s="296"/>
      <c r="L170" s="296"/>
      <c r="M170" s="296"/>
      <c r="N170" s="296"/>
      <c r="O170" s="296"/>
      <c r="P170" s="296"/>
      <c r="R170" s="296"/>
      <c r="S170" s="296"/>
      <c r="T170" s="289" t="s">
        <v>458</v>
      </c>
      <c r="U170" s="1" t="s">
        <v>717</v>
      </c>
      <c r="V170" s="44"/>
      <c r="W170" s="296"/>
      <c r="X170" s="296"/>
      <c r="Y170" s="296"/>
      <c r="Z170" s="296"/>
      <c r="AA170" s="296"/>
    </row>
    <row r="171" spans="1:27" ht="15" customHeight="1">
      <c r="A171" s="299"/>
      <c r="B171" s="300"/>
      <c r="C171" s="301">
        <v>9</v>
      </c>
      <c r="D171" s="301">
        <v>10</v>
      </c>
      <c r="E171" s="301">
        <v>11</v>
      </c>
      <c r="F171" s="301">
        <v>12</v>
      </c>
      <c r="G171" s="301">
        <v>13</v>
      </c>
      <c r="H171" s="301">
        <v>14</v>
      </c>
      <c r="I171" s="302">
        <v>15</v>
      </c>
      <c r="J171" s="35"/>
      <c r="K171" s="423"/>
      <c r="L171" s="296"/>
      <c r="M171" s="296"/>
      <c r="N171" s="296"/>
      <c r="O171" s="296"/>
      <c r="P171" s="296"/>
      <c r="R171" s="296"/>
      <c r="S171" s="296"/>
      <c r="T171" s="289" t="s">
        <v>459</v>
      </c>
      <c r="U171" s="1" t="s">
        <v>718</v>
      </c>
      <c r="V171" s="44"/>
      <c r="W171" s="296"/>
      <c r="X171" s="296"/>
      <c r="Y171" s="296"/>
      <c r="Z171" s="296"/>
      <c r="AA171" s="296"/>
    </row>
    <row r="172" spans="1:27" ht="15" customHeight="1">
      <c r="A172" s="303" t="s">
        <v>36</v>
      </c>
      <c r="B172" s="1"/>
      <c r="C172" s="304">
        <f>IF(J146&lt;=1,J119,J117)</f>
        <v>0</v>
      </c>
      <c r="D172" s="304">
        <f t="shared" ref="D172:I172" si="23">IF(C201&lt;=1,C174,C172)</f>
        <v>0</v>
      </c>
      <c r="E172" s="304">
        <f t="shared" si="23"/>
        <v>0</v>
      </c>
      <c r="F172" s="305">
        <f t="shared" si="23"/>
        <v>0</v>
      </c>
      <c r="G172" s="305">
        <f t="shared" si="23"/>
        <v>0</v>
      </c>
      <c r="H172" s="305">
        <f t="shared" si="23"/>
        <v>0</v>
      </c>
      <c r="I172" s="355">
        <f t="shared" si="23"/>
        <v>0</v>
      </c>
      <c r="J172" s="356" t="s">
        <v>260</v>
      </c>
      <c r="K172" s="424"/>
      <c r="L172" s="296"/>
      <c r="M172" s="296"/>
      <c r="N172" s="296"/>
      <c r="O172" s="296"/>
      <c r="P172" s="296"/>
      <c r="R172" s="296"/>
      <c r="S172" s="296"/>
      <c r="T172" s="289" t="s">
        <v>460</v>
      </c>
      <c r="U172" s="1" t="s">
        <v>719</v>
      </c>
      <c r="V172" s="44"/>
      <c r="W172" s="296"/>
      <c r="X172" s="296"/>
      <c r="Y172" s="296"/>
      <c r="Z172" s="296"/>
      <c r="AA172" s="296"/>
    </row>
    <row r="173" spans="1:27" ht="15" customHeight="1">
      <c r="A173" s="303" t="s">
        <v>37</v>
      </c>
      <c r="B173" s="1"/>
      <c r="C173" s="307">
        <f>IF(J146&lt;=1,J118,J119)</f>
        <v>12.5</v>
      </c>
      <c r="D173" s="307">
        <f t="shared" ref="D173:I173" si="24">IF(C201&lt;=1,C173,C174)</f>
        <v>6.25</v>
      </c>
      <c r="E173" s="307">
        <f t="shared" si="24"/>
        <v>3.125</v>
      </c>
      <c r="F173" s="308">
        <f t="shared" si="24"/>
        <v>1.5625</v>
      </c>
      <c r="G173" s="308">
        <f t="shared" si="24"/>
        <v>0.78125</v>
      </c>
      <c r="H173" s="308">
        <f t="shared" si="24"/>
        <v>0.390625</v>
      </c>
      <c r="I173" s="357">
        <f t="shared" si="24"/>
        <v>0.1953125</v>
      </c>
      <c r="J173" s="358"/>
      <c r="K173" s="425"/>
      <c r="L173" s="296"/>
      <c r="M173" s="296"/>
      <c r="N173" s="296"/>
      <c r="O173" s="296"/>
      <c r="P173" s="296"/>
      <c r="R173" s="296"/>
      <c r="S173" s="296"/>
      <c r="T173" s="289" t="s">
        <v>461</v>
      </c>
      <c r="U173" s="1" t="s">
        <v>720</v>
      </c>
      <c r="V173" s="44"/>
      <c r="W173" s="296"/>
      <c r="X173" s="296"/>
      <c r="Y173" s="296"/>
      <c r="Z173" s="296"/>
      <c r="AA173" s="296"/>
    </row>
    <row r="174" spans="1:27" ht="15" customHeight="1">
      <c r="A174" s="303" t="s">
        <v>135</v>
      </c>
      <c r="B174" s="1"/>
      <c r="C174" s="308">
        <f>(C172+C173)/2</f>
        <v>6.25</v>
      </c>
      <c r="D174" s="308">
        <f t="shared" ref="D174:I174" si="25">(D172+D173)/2</f>
        <v>3.125</v>
      </c>
      <c r="E174" s="308">
        <f t="shared" si="25"/>
        <v>1.5625</v>
      </c>
      <c r="F174" s="308">
        <f t="shared" si="25"/>
        <v>0.78125</v>
      </c>
      <c r="G174" s="308">
        <f t="shared" si="25"/>
        <v>0.390625</v>
      </c>
      <c r="H174" s="308">
        <f t="shared" si="25"/>
        <v>0.1953125</v>
      </c>
      <c r="I174" s="357">
        <f t="shared" si="25"/>
        <v>9.765625E-2</v>
      </c>
      <c r="J174" s="358"/>
      <c r="K174" s="425"/>
      <c r="L174" s="296"/>
      <c r="M174" s="296"/>
      <c r="N174" s="296"/>
      <c r="O174" s="296"/>
      <c r="P174" s="296"/>
      <c r="R174" s="296"/>
      <c r="S174" s="296"/>
      <c r="T174" s="289" t="s">
        <v>462</v>
      </c>
      <c r="U174" s="1" t="s">
        <v>721</v>
      </c>
      <c r="V174" s="44"/>
      <c r="W174" s="296"/>
      <c r="X174" s="296"/>
      <c r="Y174" s="296"/>
      <c r="Z174" s="296"/>
      <c r="AA174" s="296"/>
    </row>
    <row r="175" spans="1:27" ht="15" customHeight="1">
      <c r="A175" s="303" t="s">
        <v>38</v>
      </c>
      <c r="B175" s="1"/>
      <c r="C175" s="311">
        <f>(C174-C205)/100*(C208-C206)+C206</f>
        <v>1</v>
      </c>
      <c r="D175" s="311">
        <f t="shared" ref="D175:I175" si="26">(D174-D205)/100*(D208-D206)+D206</f>
        <v>1</v>
      </c>
      <c r="E175" s="311">
        <f t="shared" si="26"/>
        <v>1</v>
      </c>
      <c r="F175" s="311">
        <f t="shared" si="26"/>
        <v>1</v>
      </c>
      <c r="G175" s="311">
        <f t="shared" si="26"/>
        <v>1</v>
      </c>
      <c r="H175" s="311">
        <f t="shared" si="26"/>
        <v>1</v>
      </c>
      <c r="I175" s="359">
        <f t="shared" si="26"/>
        <v>1</v>
      </c>
      <c r="J175" s="358"/>
      <c r="K175" s="425"/>
      <c r="L175" s="296"/>
      <c r="M175" s="296"/>
      <c r="N175" s="296"/>
      <c r="O175" s="296"/>
      <c r="P175" s="296"/>
      <c r="R175" s="310"/>
      <c r="S175" s="310"/>
      <c r="T175" s="289" t="s">
        <v>463</v>
      </c>
      <c r="U175" s="1" t="s">
        <v>722</v>
      </c>
      <c r="V175" s="44"/>
      <c r="W175" s="296"/>
      <c r="X175" s="296"/>
      <c r="Y175" s="296"/>
      <c r="Z175" s="296"/>
      <c r="AA175" s="296"/>
    </row>
    <row r="176" spans="1:27" ht="15" customHeight="1">
      <c r="A176" s="303" t="s">
        <v>39</v>
      </c>
      <c r="B176" s="1"/>
      <c r="C176" s="311">
        <f t="shared" ref="C176:I176" si="27">(C174-C205)/100*(C209-C207)+C207</f>
        <v>1</v>
      </c>
      <c r="D176" s="311">
        <f t="shared" si="27"/>
        <v>1</v>
      </c>
      <c r="E176" s="311">
        <f t="shared" si="27"/>
        <v>1</v>
      </c>
      <c r="F176" s="311">
        <f t="shared" si="27"/>
        <v>1</v>
      </c>
      <c r="G176" s="311">
        <f t="shared" si="27"/>
        <v>1</v>
      </c>
      <c r="H176" s="311">
        <f t="shared" si="27"/>
        <v>1</v>
      </c>
      <c r="I176" s="359">
        <f t="shared" si="27"/>
        <v>1</v>
      </c>
      <c r="J176" s="360"/>
      <c r="K176" s="426"/>
      <c r="L176" s="296"/>
      <c r="M176" s="296"/>
      <c r="N176" s="296"/>
      <c r="O176" s="296"/>
      <c r="P176" s="296"/>
      <c r="R176" s="310"/>
      <c r="S176" s="310"/>
      <c r="T176" s="289" t="s">
        <v>464</v>
      </c>
      <c r="U176" s="1" t="s">
        <v>723</v>
      </c>
      <c r="W176" s="296"/>
      <c r="X176" s="296"/>
      <c r="Y176" s="296"/>
      <c r="Z176" s="296"/>
      <c r="AA176" s="296"/>
    </row>
    <row r="177" spans="1:27" ht="15" customHeight="1">
      <c r="A177" s="313" t="s">
        <v>40</v>
      </c>
      <c r="B177" s="314"/>
      <c r="C177" s="315">
        <f>SQRT(C175/C176)</f>
        <v>1</v>
      </c>
      <c r="D177" s="315">
        <f t="shared" ref="D177:I177" si="28">SQRT(D175/D176)</f>
        <v>1</v>
      </c>
      <c r="E177" s="315">
        <f t="shared" si="28"/>
        <v>1</v>
      </c>
      <c r="F177" s="315">
        <f t="shared" si="28"/>
        <v>1</v>
      </c>
      <c r="G177" s="315">
        <f t="shared" si="28"/>
        <v>1</v>
      </c>
      <c r="H177" s="315">
        <f t="shared" si="28"/>
        <v>1</v>
      </c>
      <c r="I177" s="361">
        <f t="shared" si="28"/>
        <v>1</v>
      </c>
      <c r="J177" s="360"/>
      <c r="K177" s="426"/>
      <c r="L177" s="296"/>
      <c r="M177" s="296"/>
      <c r="N177" s="296"/>
      <c r="O177" s="296"/>
      <c r="P177" s="296"/>
      <c r="R177" s="310"/>
      <c r="S177" s="310"/>
      <c r="T177" s="289" t="s">
        <v>465</v>
      </c>
      <c r="U177" s="1" t="s">
        <v>724</v>
      </c>
      <c r="W177" s="296"/>
      <c r="X177" s="296"/>
      <c r="Y177" s="296"/>
      <c r="Z177" s="296"/>
      <c r="AA177" s="296"/>
    </row>
    <row r="178" spans="1:27" ht="15" customHeight="1">
      <c r="A178" s="317" t="s">
        <v>115</v>
      </c>
      <c r="B178" s="1"/>
      <c r="C178" s="311">
        <f t="shared" ref="C178:I178" si="29">$G$72*1000/$F$90/93.9/$F$83</f>
        <v>2.3275133278284459</v>
      </c>
      <c r="D178" s="311">
        <f t="shared" si="29"/>
        <v>2.3275133278284459</v>
      </c>
      <c r="E178" s="311">
        <f t="shared" si="29"/>
        <v>2.3275133278284459</v>
      </c>
      <c r="F178" s="311">
        <f t="shared" si="29"/>
        <v>2.3275133278284459</v>
      </c>
      <c r="G178" s="311">
        <f t="shared" si="29"/>
        <v>2.3275133278284459</v>
      </c>
      <c r="H178" s="311">
        <f t="shared" si="29"/>
        <v>2.3275133278284459</v>
      </c>
      <c r="I178" s="359">
        <f t="shared" si="29"/>
        <v>2.3275133278284459</v>
      </c>
      <c r="J178" s="360"/>
      <c r="K178" s="426"/>
      <c r="L178" s="296"/>
      <c r="M178" s="296"/>
      <c r="N178" s="296"/>
      <c r="O178" s="296"/>
      <c r="P178" s="296"/>
      <c r="Q178" s="310"/>
      <c r="R178" s="310"/>
      <c r="S178" s="310"/>
      <c r="T178" s="289" t="s">
        <v>466</v>
      </c>
      <c r="U178" s="1" t="s">
        <v>725</v>
      </c>
      <c r="W178" s="296"/>
      <c r="X178" s="296"/>
      <c r="Y178" s="296"/>
      <c r="Z178" s="296"/>
      <c r="AA178" s="296"/>
    </row>
    <row r="179" spans="1:27" ht="15" customHeight="1">
      <c r="A179" s="317" t="s">
        <v>116</v>
      </c>
      <c r="B179" s="1"/>
      <c r="C179" s="311">
        <f>C178*C177</f>
        <v>2.3275133278284459</v>
      </c>
      <c r="D179" s="311">
        <f t="shared" ref="D179:I179" si="30">D178*D177</f>
        <v>2.3275133278284459</v>
      </c>
      <c r="E179" s="311">
        <f t="shared" si="30"/>
        <v>2.3275133278284459</v>
      </c>
      <c r="F179" s="311">
        <f t="shared" si="30"/>
        <v>2.3275133278284459</v>
      </c>
      <c r="G179" s="311">
        <f t="shared" si="30"/>
        <v>2.3275133278284459</v>
      </c>
      <c r="H179" s="311">
        <f t="shared" si="30"/>
        <v>2.3275133278284459</v>
      </c>
      <c r="I179" s="359">
        <f t="shared" si="30"/>
        <v>2.3275133278284459</v>
      </c>
      <c r="J179" s="360"/>
      <c r="K179" s="426"/>
      <c r="L179" s="296"/>
      <c r="M179" s="296"/>
      <c r="N179" s="296"/>
      <c r="O179" s="296"/>
      <c r="P179" s="296"/>
      <c r="Q179" s="310"/>
      <c r="R179" s="310"/>
      <c r="S179" s="310"/>
      <c r="T179" s="289" t="s">
        <v>467</v>
      </c>
      <c r="U179" s="1" t="s">
        <v>726</v>
      </c>
      <c r="V179" s="296"/>
      <c r="W179" s="296"/>
      <c r="X179" s="296"/>
      <c r="Y179" s="296"/>
      <c r="Z179" s="296"/>
      <c r="AA179" s="296"/>
    </row>
    <row r="180" spans="1:27" ht="15" customHeight="1">
      <c r="A180" s="317" t="s">
        <v>118</v>
      </c>
      <c r="B180" s="1"/>
      <c r="C180" s="311">
        <f t="shared" ref="C180:I180" si="31">0.65*$F$83</f>
        <v>0.52885073375343761</v>
      </c>
      <c r="D180" s="311">
        <f t="shared" si="31"/>
        <v>0.52885073375343761</v>
      </c>
      <c r="E180" s="311">
        <f t="shared" si="31"/>
        <v>0.52885073375343761</v>
      </c>
      <c r="F180" s="311">
        <f t="shared" si="31"/>
        <v>0.52885073375343761</v>
      </c>
      <c r="G180" s="311">
        <f t="shared" si="31"/>
        <v>0.52885073375343761</v>
      </c>
      <c r="H180" s="311">
        <f t="shared" si="31"/>
        <v>0.52885073375343761</v>
      </c>
      <c r="I180" s="359">
        <f t="shared" si="31"/>
        <v>0.52885073375343761</v>
      </c>
      <c r="J180" s="360"/>
      <c r="K180" s="426"/>
      <c r="L180" s="296"/>
      <c r="M180" s="296"/>
      <c r="N180" s="296"/>
      <c r="O180" s="296"/>
      <c r="P180" s="296"/>
      <c r="Q180" s="310"/>
      <c r="R180" s="310"/>
      <c r="S180" s="310"/>
      <c r="T180" s="289" t="s">
        <v>468</v>
      </c>
      <c r="U180" s="1" t="s">
        <v>727</v>
      </c>
      <c r="V180" s="296"/>
      <c r="W180" s="296"/>
      <c r="X180" s="296"/>
      <c r="Y180" s="296"/>
      <c r="Z180" s="296"/>
      <c r="AA180" s="296"/>
    </row>
    <row r="181" spans="1:27" ht="15" customHeight="1">
      <c r="A181" s="317" t="s">
        <v>19</v>
      </c>
      <c r="B181" s="1"/>
      <c r="C181" s="311">
        <f>0.5*(1+C180*C179+C179^2)</f>
        <v>3.8241127112310132</v>
      </c>
      <c r="D181" s="311">
        <f t="shared" ref="D181:I181" si="32">0.5*(1+D180*D179+D179^2)</f>
        <v>3.8241127112310132</v>
      </c>
      <c r="E181" s="311">
        <f t="shared" si="32"/>
        <v>3.8241127112310132</v>
      </c>
      <c r="F181" s="311">
        <f t="shared" si="32"/>
        <v>3.8241127112310132</v>
      </c>
      <c r="G181" s="311">
        <f t="shared" si="32"/>
        <v>3.8241127112310132</v>
      </c>
      <c r="H181" s="311">
        <f t="shared" si="32"/>
        <v>3.8241127112310132</v>
      </c>
      <c r="I181" s="359">
        <f t="shared" si="32"/>
        <v>3.8241127112310132</v>
      </c>
      <c r="J181" s="360"/>
      <c r="K181" s="426"/>
      <c r="L181" s="296"/>
      <c r="M181" s="296"/>
      <c r="N181" s="296"/>
      <c r="O181" s="296"/>
      <c r="P181" s="296"/>
      <c r="Q181" s="310"/>
      <c r="R181" s="310"/>
      <c r="S181" s="310"/>
      <c r="T181" s="289" t="s">
        <v>469</v>
      </c>
      <c r="U181" s="1" t="s">
        <v>728</v>
      </c>
      <c r="V181" s="296"/>
      <c r="W181" s="296"/>
      <c r="X181" s="296"/>
      <c r="Y181" s="296"/>
      <c r="Z181" s="296"/>
      <c r="AA181" s="296"/>
    </row>
    <row r="182" spans="1:27" ht="15" customHeight="1">
      <c r="A182" s="319" t="s">
        <v>117</v>
      </c>
      <c r="B182" s="314"/>
      <c r="C182" s="315">
        <f>1/(C181+SQRT(C181*C181-C179*C179))</f>
        <v>0.14580793202029571</v>
      </c>
      <c r="D182" s="315">
        <f t="shared" ref="D182:I182" si="33">1/(D181+SQRT(D181*D181-D179*D179))</f>
        <v>0.14580793202029571</v>
      </c>
      <c r="E182" s="315">
        <f t="shared" si="33"/>
        <v>0.14580793202029571</v>
      </c>
      <c r="F182" s="315">
        <f t="shared" si="33"/>
        <v>0.14580793202029571</v>
      </c>
      <c r="G182" s="315">
        <f t="shared" si="33"/>
        <v>0.14580793202029571</v>
      </c>
      <c r="H182" s="315">
        <f t="shared" si="33"/>
        <v>0.14580793202029571</v>
      </c>
      <c r="I182" s="361">
        <f t="shared" si="33"/>
        <v>0.14580793202029571</v>
      </c>
      <c r="J182" s="360"/>
      <c r="K182" s="426"/>
      <c r="L182" s="296"/>
      <c r="M182" s="296"/>
      <c r="N182" s="296"/>
      <c r="O182" s="296"/>
      <c r="P182" s="296"/>
      <c r="Q182" s="310"/>
      <c r="R182" s="310"/>
      <c r="S182" s="310"/>
      <c r="T182" s="289" t="s">
        <v>470</v>
      </c>
      <c r="U182" s="1" t="s">
        <v>729</v>
      </c>
      <c r="V182" s="296"/>
      <c r="W182" s="296"/>
      <c r="X182" s="296"/>
      <c r="Y182" s="296"/>
      <c r="Z182" s="296"/>
      <c r="AA182" s="296"/>
    </row>
    <row r="183" spans="1:27" ht="15" customHeight="1">
      <c r="A183" s="317" t="s">
        <v>114</v>
      </c>
      <c r="B183" s="1"/>
      <c r="C183" s="311">
        <f t="shared" ref="C183:I183" si="34">$G$77*1000/$F$91/93.9/$F$83</f>
        <v>2.3275133278284459</v>
      </c>
      <c r="D183" s="311">
        <f t="shared" si="34"/>
        <v>2.3275133278284459</v>
      </c>
      <c r="E183" s="311">
        <f t="shared" si="34"/>
        <v>2.3275133278284459</v>
      </c>
      <c r="F183" s="311">
        <f t="shared" si="34"/>
        <v>2.3275133278284459</v>
      </c>
      <c r="G183" s="311">
        <f t="shared" si="34"/>
        <v>2.3275133278284459</v>
      </c>
      <c r="H183" s="311">
        <f t="shared" si="34"/>
        <v>2.3275133278284459</v>
      </c>
      <c r="I183" s="359">
        <f t="shared" si="34"/>
        <v>2.3275133278284459</v>
      </c>
      <c r="J183" s="360"/>
      <c r="K183" s="426"/>
      <c r="L183" s="296"/>
      <c r="M183" s="296"/>
      <c r="N183" s="296"/>
      <c r="O183" s="296"/>
      <c r="P183" s="296"/>
      <c r="Q183" s="310"/>
      <c r="R183" s="310"/>
      <c r="S183" s="310"/>
      <c r="T183" s="289" t="s">
        <v>471</v>
      </c>
      <c r="U183" s="1" t="s">
        <v>730</v>
      </c>
      <c r="V183" s="296"/>
      <c r="W183" s="296"/>
      <c r="X183" s="296"/>
      <c r="Y183" s="296"/>
      <c r="Z183" s="296"/>
      <c r="AA183" s="296"/>
    </row>
    <row r="184" spans="1:27" ht="15" customHeight="1">
      <c r="A184" s="317" t="s">
        <v>113</v>
      </c>
      <c r="B184" s="1"/>
      <c r="C184" s="311">
        <f>C183*C177</f>
        <v>2.3275133278284459</v>
      </c>
      <c r="D184" s="311">
        <f t="shared" ref="D184:I184" si="35">D183*D177</f>
        <v>2.3275133278284459</v>
      </c>
      <c r="E184" s="311">
        <f t="shared" si="35"/>
        <v>2.3275133278284459</v>
      </c>
      <c r="F184" s="311">
        <f t="shared" si="35"/>
        <v>2.3275133278284459</v>
      </c>
      <c r="G184" s="311">
        <f t="shared" si="35"/>
        <v>2.3275133278284459</v>
      </c>
      <c r="H184" s="311">
        <f t="shared" si="35"/>
        <v>2.3275133278284459</v>
      </c>
      <c r="I184" s="359">
        <f t="shared" si="35"/>
        <v>2.3275133278284459</v>
      </c>
      <c r="J184" s="360"/>
      <c r="K184" s="426"/>
      <c r="L184" s="296"/>
      <c r="M184" s="296"/>
      <c r="N184" s="296"/>
      <c r="O184" s="296"/>
      <c r="P184" s="296"/>
      <c r="Q184" s="310"/>
      <c r="R184" s="310"/>
      <c r="S184" s="310"/>
      <c r="T184" s="289" t="s">
        <v>472</v>
      </c>
      <c r="U184" s="1" t="s">
        <v>731</v>
      </c>
      <c r="V184" s="296"/>
      <c r="W184" s="296"/>
      <c r="X184" s="296"/>
      <c r="Y184" s="296"/>
      <c r="Z184" s="296"/>
      <c r="AA184" s="296"/>
    </row>
    <row r="185" spans="1:27" ht="15" customHeight="1">
      <c r="A185" s="317" t="s">
        <v>118</v>
      </c>
      <c r="B185" s="1"/>
      <c r="C185" s="311">
        <f t="shared" ref="C185:I185" si="36">0.65*$F$83</f>
        <v>0.52885073375343761</v>
      </c>
      <c r="D185" s="311">
        <f t="shared" si="36"/>
        <v>0.52885073375343761</v>
      </c>
      <c r="E185" s="311">
        <f t="shared" si="36"/>
        <v>0.52885073375343761</v>
      </c>
      <c r="F185" s="311">
        <f t="shared" si="36"/>
        <v>0.52885073375343761</v>
      </c>
      <c r="G185" s="311">
        <f t="shared" si="36"/>
        <v>0.52885073375343761</v>
      </c>
      <c r="H185" s="311">
        <f t="shared" si="36"/>
        <v>0.52885073375343761</v>
      </c>
      <c r="I185" s="359">
        <f t="shared" si="36"/>
        <v>0.52885073375343761</v>
      </c>
      <c r="J185" s="360"/>
      <c r="K185" s="426"/>
      <c r="L185" s="296"/>
      <c r="M185" s="296"/>
      <c r="N185" s="296"/>
      <c r="O185" s="296"/>
      <c r="P185" s="296"/>
      <c r="Q185" s="310"/>
      <c r="R185" s="310"/>
      <c r="S185" s="310"/>
      <c r="T185" s="289" t="s">
        <v>473</v>
      </c>
      <c r="U185" s="1" t="s">
        <v>732</v>
      </c>
      <c r="V185" s="296"/>
      <c r="W185" s="296"/>
      <c r="X185" s="296"/>
      <c r="Y185" s="296"/>
      <c r="Z185" s="296"/>
      <c r="AA185" s="296"/>
    </row>
    <row r="186" spans="1:27" ht="15" customHeight="1">
      <c r="A186" s="317" t="s">
        <v>20</v>
      </c>
      <c r="B186" s="1"/>
      <c r="C186" s="311">
        <f>0.5*(1+C185*C184+C184^2)</f>
        <v>3.8241127112310132</v>
      </c>
      <c r="D186" s="311">
        <f t="shared" ref="D186:I186" si="37">0.5*(1+D185*D184+D184^2)</f>
        <v>3.8241127112310132</v>
      </c>
      <c r="E186" s="311">
        <f t="shared" si="37"/>
        <v>3.8241127112310132</v>
      </c>
      <c r="F186" s="311">
        <f t="shared" si="37"/>
        <v>3.8241127112310132</v>
      </c>
      <c r="G186" s="311">
        <f t="shared" si="37"/>
        <v>3.8241127112310132</v>
      </c>
      <c r="H186" s="311">
        <f t="shared" si="37"/>
        <v>3.8241127112310132</v>
      </c>
      <c r="I186" s="359">
        <f t="shared" si="37"/>
        <v>3.8241127112310132</v>
      </c>
      <c r="J186" s="360"/>
      <c r="K186" s="426"/>
      <c r="L186" s="296"/>
      <c r="M186" s="296"/>
      <c r="N186" s="296"/>
      <c r="O186" s="296"/>
      <c r="P186" s="296"/>
      <c r="Q186" s="310"/>
      <c r="R186" s="310"/>
      <c r="S186" s="310"/>
      <c r="T186" s="289" t="s">
        <v>474</v>
      </c>
      <c r="U186" s="1" t="s">
        <v>733</v>
      </c>
      <c r="V186" s="296"/>
      <c r="W186" s="296"/>
      <c r="X186" s="296"/>
      <c r="Y186" s="296"/>
      <c r="Z186" s="296"/>
      <c r="AA186" s="296"/>
    </row>
    <row r="187" spans="1:27" ht="15" customHeight="1">
      <c r="A187" s="319" t="s">
        <v>105</v>
      </c>
      <c r="B187" s="314"/>
      <c r="C187" s="315">
        <f>1/(C186+SQRT(C186*C186-C184*C184))</f>
        <v>0.14580793202029571</v>
      </c>
      <c r="D187" s="315">
        <f t="shared" ref="D187:I187" si="38">1/(D186+SQRT(D186*D186-D184*D184))</f>
        <v>0.14580793202029571</v>
      </c>
      <c r="E187" s="315">
        <f t="shared" si="38"/>
        <v>0.14580793202029571</v>
      </c>
      <c r="F187" s="315">
        <f t="shared" si="38"/>
        <v>0.14580793202029571</v>
      </c>
      <c r="G187" s="315">
        <f t="shared" si="38"/>
        <v>0.14580793202029571</v>
      </c>
      <c r="H187" s="315">
        <f t="shared" si="38"/>
        <v>0.14580793202029571</v>
      </c>
      <c r="I187" s="361">
        <f t="shared" si="38"/>
        <v>0.14580793202029571</v>
      </c>
      <c r="J187" s="360"/>
      <c r="K187" s="426"/>
      <c r="L187" s="296"/>
      <c r="M187" s="296"/>
      <c r="N187" s="296"/>
      <c r="O187" s="296"/>
      <c r="P187" s="296"/>
      <c r="Q187" s="296"/>
      <c r="R187" s="296"/>
      <c r="S187" s="296"/>
      <c r="T187" s="289" t="s">
        <v>475</v>
      </c>
      <c r="U187" s="1" t="s">
        <v>734</v>
      </c>
      <c r="V187" s="296"/>
      <c r="W187" s="296"/>
      <c r="X187" s="296"/>
      <c r="Y187" s="296"/>
      <c r="Z187" s="296"/>
      <c r="AA187" s="296"/>
    </row>
    <row r="188" spans="1:27" ht="15" customHeight="1">
      <c r="A188" s="317" t="s">
        <v>98</v>
      </c>
      <c r="B188" s="1"/>
      <c r="C188" s="311">
        <f t="shared" ref="C188:I188" si="39">VLOOKUP($C$86,DBASE,52,FALSE)</f>
        <v>0</v>
      </c>
      <c r="D188" s="311">
        <f t="shared" si="39"/>
        <v>0</v>
      </c>
      <c r="E188" s="311">
        <f t="shared" si="39"/>
        <v>0</v>
      </c>
      <c r="F188" s="311">
        <f t="shared" si="39"/>
        <v>0</v>
      </c>
      <c r="G188" s="311">
        <f t="shared" si="39"/>
        <v>0</v>
      </c>
      <c r="H188" s="311">
        <f t="shared" si="39"/>
        <v>0</v>
      </c>
      <c r="I188" s="359">
        <f t="shared" si="39"/>
        <v>0</v>
      </c>
      <c r="J188" s="360"/>
      <c r="K188" s="426"/>
      <c r="L188" s="296"/>
      <c r="M188" s="296"/>
      <c r="N188" s="296"/>
      <c r="O188" s="296"/>
      <c r="P188" s="296"/>
      <c r="Q188" s="296"/>
      <c r="R188" s="296"/>
      <c r="S188" s="296"/>
      <c r="T188" s="289" t="s">
        <v>476</v>
      </c>
      <c r="U188" s="1" t="s">
        <v>735</v>
      </c>
      <c r="V188" s="296"/>
      <c r="W188" s="296"/>
      <c r="X188" s="296"/>
      <c r="Y188" s="296"/>
      <c r="Z188" s="296"/>
      <c r="AA188" s="296"/>
    </row>
    <row r="189" spans="1:27" ht="15" customHeight="1">
      <c r="A189" s="317" t="s">
        <v>99</v>
      </c>
      <c r="B189" s="1"/>
      <c r="C189" s="311">
        <f>C188*C177</f>
        <v>0</v>
      </c>
      <c r="D189" s="311">
        <f t="shared" ref="D189:I189" si="40">D188*D177</f>
        <v>0</v>
      </c>
      <c r="E189" s="311">
        <f t="shared" si="40"/>
        <v>0</v>
      </c>
      <c r="F189" s="311">
        <f t="shared" si="40"/>
        <v>0</v>
      </c>
      <c r="G189" s="311">
        <f t="shared" si="40"/>
        <v>0</v>
      </c>
      <c r="H189" s="311">
        <f t="shared" si="40"/>
        <v>0</v>
      </c>
      <c r="I189" s="359">
        <f t="shared" si="40"/>
        <v>0</v>
      </c>
      <c r="J189" s="360"/>
      <c r="K189" s="426"/>
      <c r="L189" s="296"/>
      <c r="M189" s="296"/>
      <c r="N189" s="296"/>
      <c r="O189" s="296"/>
      <c r="P189" s="296"/>
      <c r="Q189" s="296"/>
      <c r="R189" s="296"/>
      <c r="S189" s="296"/>
      <c r="T189" s="289" t="s">
        <v>477</v>
      </c>
      <c r="U189" s="1" t="s">
        <v>736</v>
      </c>
      <c r="V189" s="296"/>
      <c r="W189" s="296"/>
      <c r="X189" s="296"/>
      <c r="Y189" s="296"/>
      <c r="Z189" s="296"/>
      <c r="AA189" s="296"/>
    </row>
    <row r="190" spans="1:27" ht="15" customHeight="1">
      <c r="A190" s="317" t="s">
        <v>118</v>
      </c>
      <c r="B190" s="1"/>
      <c r="C190" s="311">
        <f t="shared" ref="C190:I190" si="41">0.65*$F$83</f>
        <v>0.52885073375343761</v>
      </c>
      <c r="D190" s="311">
        <f t="shared" si="41"/>
        <v>0.52885073375343761</v>
      </c>
      <c r="E190" s="311">
        <f t="shared" si="41"/>
        <v>0.52885073375343761</v>
      </c>
      <c r="F190" s="311">
        <f t="shared" si="41"/>
        <v>0.52885073375343761</v>
      </c>
      <c r="G190" s="311">
        <f t="shared" si="41"/>
        <v>0.52885073375343761</v>
      </c>
      <c r="H190" s="311">
        <f t="shared" si="41"/>
        <v>0.52885073375343761</v>
      </c>
      <c r="I190" s="359">
        <f t="shared" si="41"/>
        <v>0.52885073375343761</v>
      </c>
      <c r="J190" s="360"/>
      <c r="K190" s="426"/>
      <c r="L190" s="296"/>
      <c r="M190" s="296"/>
      <c r="N190" s="296"/>
      <c r="O190" s="296"/>
      <c r="P190" s="296"/>
      <c r="Q190" s="296"/>
      <c r="R190" s="296"/>
      <c r="S190" s="296"/>
      <c r="T190" s="289" t="s">
        <v>478</v>
      </c>
      <c r="U190" s="1" t="s">
        <v>737</v>
      </c>
      <c r="V190" s="296"/>
      <c r="W190" s="296"/>
      <c r="X190" s="296"/>
      <c r="Y190" s="296"/>
      <c r="Z190" s="296"/>
      <c r="AA190" s="296"/>
    </row>
    <row r="191" spans="1:27" ht="15" customHeight="1">
      <c r="A191" s="317" t="s">
        <v>100</v>
      </c>
      <c r="B191" s="1"/>
      <c r="C191" s="323">
        <f>0.5*(1+C190*C189+C189^2)</f>
        <v>0.5</v>
      </c>
      <c r="D191" s="323">
        <f t="shared" ref="D191:I191" si="42">0.5*(1+D190*D189+D189^2)</f>
        <v>0.5</v>
      </c>
      <c r="E191" s="323">
        <f t="shared" si="42"/>
        <v>0.5</v>
      </c>
      <c r="F191" s="323">
        <f t="shared" si="42"/>
        <v>0.5</v>
      </c>
      <c r="G191" s="323">
        <f t="shared" si="42"/>
        <v>0.5</v>
      </c>
      <c r="H191" s="323">
        <f t="shared" si="42"/>
        <v>0.5</v>
      </c>
      <c r="I191" s="362">
        <f t="shared" si="42"/>
        <v>0.5</v>
      </c>
      <c r="J191" s="360"/>
      <c r="K191" s="426"/>
      <c r="L191" s="296"/>
      <c r="M191" s="296"/>
      <c r="N191" s="296"/>
      <c r="O191" s="296"/>
      <c r="P191" s="296"/>
      <c r="Q191" s="296"/>
      <c r="R191" s="296"/>
      <c r="S191" s="296"/>
      <c r="U191" s="1"/>
      <c r="V191" s="296"/>
      <c r="W191" s="310"/>
      <c r="X191" s="310"/>
      <c r="Y191" s="296"/>
      <c r="Z191" s="296"/>
      <c r="AA191" s="296"/>
    </row>
    <row r="192" spans="1:27" ht="15" customHeight="1">
      <c r="A192" s="317" t="s">
        <v>101</v>
      </c>
      <c r="B192" s="1"/>
      <c r="C192" s="323">
        <f>1/(C191+SQRT(C191*C191-C189*C189))</f>
        <v>1</v>
      </c>
      <c r="D192" s="323">
        <f t="shared" ref="D192:I192" si="43">1/(D191+SQRT(D191*D191-D189*D189))</f>
        <v>1</v>
      </c>
      <c r="E192" s="323">
        <f t="shared" si="43"/>
        <v>1</v>
      </c>
      <c r="F192" s="323">
        <f t="shared" si="43"/>
        <v>1</v>
      </c>
      <c r="G192" s="323">
        <f t="shared" si="43"/>
        <v>1</v>
      </c>
      <c r="H192" s="323">
        <f t="shared" si="43"/>
        <v>1</v>
      </c>
      <c r="I192" s="362">
        <f t="shared" si="43"/>
        <v>1</v>
      </c>
      <c r="J192" s="360"/>
      <c r="K192" s="426"/>
      <c r="L192" s="296"/>
      <c r="M192" s="296"/>
      <c r="N192" s="296"/>
      <c r="O192" s="296"/>
      <c r="P192" s="296"/>
      <c r="U192" s="1"/>
      <c r="Y192" s="296"/>
      <c r="Z192" s="296"/>
      <c r="AA192" s="296"/>
    </row>
    <row r="193" spans="1:27" ht="15" customHeight="1">
      <c r="A193" s="325" t="s">
        <v>262</v>
      </c>
      <c r="B193" s="326"/>
      <c r="C193" s="328">
        <f>IF(C178&gt;1.1,IF((2*$I$38-5)*(C177*1.1)+0.44*$I$38+0.29&gt;0.8,0.8,(2*$I$38-5)*(C177*1.1)+0.44*$I$38+0.29),IF((2*$I$38-5)*C179+0.44*$I$38+0.29&gt;0.8,0.8,(2*$I$38-5)*C179+0.44*$I$38+0.29))</f>
        <v>-1.8571999999999997</v>
      </c>
      <c r="D193" s="328">
        <f t="shared" ref="D193:I193" si="44">IF(D178&gt;1.1,IF((2*$I$38-5)*(D177*1.1)+0.44*$I$38+0.29&gt;0.8,0.8,(2*$I$38-5)*(D177*1.1)+0.44*$I$38+0.29),IF((2*$I$38-5)*D179+0.44*$I$38+0.29&gt;0.8,0.8,(2*$I$38-5)*D179+0.44*$I$38+0.29))</f>
        <v>-1.8571999999999997</v>
      </c>
      <c r="E193" s="328">
        <f t="shared" si="44"/>
        <v>-1.8571999999999997</v>
      </c>
      <c r="F193" s="328">
        <f t="shared" si="44"/>
        <v>-1.8571999999999997</v>
      </c>
      <c r="G193" s="328">
        <f t="shared" si="44"/>
        <v>-1.8571999999999997</v>
      </c>
      <c r="H193" s="328">
        <f t="shared" si="44"/>
        <v>-1.8571999999999997</v>
      </c>
      <c r="I193" s="363">
        <f t="shared" si="44"/>
        <v>-1.8571999999999997</v>
      </c>
      <c r="J193" s="360"/>
      <c r="K193" s="426"/>
      <c r="L193" s="296"/>
      <c r="M193" s="296"/>
      <c r="N193" s="296"/>
      <c r="O193" s="296"/>
      <c r="P193" s="296"/>
      <c r="U193" s="1"/>
      <c r="Y193" s="296"/>
      <c r="Z193" s="296"/>
      <c r="AA193" s="296"/>
    </row>
    <row r="194" spans="1:27" ht="15" customHeight="1">
      <c r="A194" s="313" t="s">
        <v>263</v>
      </c>
      <c r="B194" s="314"/>
      <c r="C194" s="330">
        <f t="shared" ref="C194:I194" si="45">IF(1-(C193*$I$21*1000)/(C182*$F$89*C175*LOOKUP($F82,$L1:$M5))&gt;3,3,1-(C193*$I$21*1000)/(C182*$F$89*C175*LOOKUP($F82,$L1:$M5)))</f>
        <v>2.8093905117554296</v>
      </c>
      <c r="D194" s="330">
        <f t="shared" si="45"/>
        <v>2.8093905117554296</v>
      </c>
      <c r="E194" s="330">
        <f t="shared" si="45"/>
        <v>2.8093905117554296</v>
      </c>
      <c r="F194" s="330">
        <f t="shared" si="45"/>
        <v>2.8093905117554296</v>
      </c>
      <c r="G194" s="330">
        <f t="shared" si="45"/>
        <v>2.8093905117554296</v>
      </c>
      <c r="H194" s="330">
        <f t="shared" si="45"/>
        <v>2.8093905117554296</v>
      </c>
      <c r="I194" s="331">
        <f t="shared" si="45"/>
        <v>2.8093905117554296</v>
      </c>
      <c r="J194" s="364"/>
      <c r="K194" s="432"/>
      <c r="L194" s="296"/>
      <c r="M194" s="296"/>
      <c r="N194" s="296"/>
      <c r="O194" s="296"/>
      <c r="P194" s="296"/>
      <c r="U194" s="1"/>
      <c r="Y194" s="296"/>
      <c r="Z194" s="296"/>
      <c r="AA194" s="296"/>
    </row>
    <row r="195" spans="1:27" s="44" customFormat="1" ht="15" customHeight="1">
      <c r="A195" s="325" t="s">
        <v>264</v>
      </c>
      <c r="B195" s="326"/>
      <c r="C195" s="327">
        <f t="shared" ref="C195:I195" si="46">IF((1.2*$I$59-3)*C184+0.71*$I$59-0.29&gt;0.8,0.8,(1.2*$I$59-3)*C184+0.71*$I$59-0.29)</f>
        <v>-0.96711119537589418</v>
      </c>
      <c r="D195" s="328">
        <f t="shared" si="46"/>
        <v>-0.96711119537589418</v>
      </c>
      <c r="E195" s="328">
        <f t="shared" si="46"/>
        <v>-0.96711119537589418</v>
      </c>
      <c r="F195" s="328">
        <f t="shared" si="46"/>
        <v>-0.96711119537589418</v>
      </c>
      <c r="G195" s="328">
        <f t="shared" si="46"/>
        <v>-0.96711119537589418</v>
      </c>
      <c r="H195" s="328">
        <f t="shared" si="46"/>
        <v>-0.96711119537589418</v>
      </c>
      <c r="I195" s="329">
        <f t="shared" si="46"/>
        <v>-0.96711119537589418</v>
      </c>
      <c r="J195" s="296"/>
      <c r="K195" s="296"/>
      <c r="L195" s="310"/>
      <c r="M195" s="310"/>
      <c r="N195" s="310"/>
      <c r="O195" s="310"/>
      <c r="P195" s="310"/>
      <c r="Y195" s="310"/>
      <c r="Z195" s="310"/>
      <c r="AA195" s="310"/>
    </row>
    <row r="196" spans="1:27" s="44" customFormat="1" ht="15" customHeight="1">
      <c r="A196" s="365" t="s">
        <v>106</v>
      </c>
      <c r="C196" s="333">
        <f t="shared" ref="C196:I196" si="47">IF(1-(C195*$I$21*1000)/(C187*$F$89*C175*LOOKUP($F82,$L1:$M5))&gt;3,3,1-(C195*$I$21*1000)/(C187*$F$89*C175*LOOKUP($F82,$L1:$M5)))</f>
        <v>1.9422150660809794</v>
      </c>
      <c r="D196" s="333">
        <f t="shared" si="47"/>
        <v>1.9422150660809794</v>
      </c>
      <c r="E196" s="333">
        <f t="shared" si="47"/>
        <v>1.9422150660809794</v>
      </c>
      <c r="F196" s="333">
        <f t="shared" si="47"/>
        <v>1.9422150660809794</v>
      </c>
      <c r="G196" s="333">
        <f t="shared" si="47"/>
        <v>1.9422150660809794</v>
      </c>
      <c r="H196" s="333">
        <f t="shared" si="47"/>
        <v>1.9422150660809794</v>
      </c>
      <c r="I196" s="334">
        <f t="shared" si="47"/>
        <v>1.9422150660809794</v>
      </c>
      <c r="J196" s="296"/>
      <c r="K196" s="296"/>
      <c r="L196" s="310"/>
      <c r="M196" s="310"/>
      <c r="N196" s="310"/>
      <c r="O196" s="310"/>
      <c r="P196" s="310"/>
      <c r="Q196" s="1"/>
      <c r="R196" s="1"/>
      <c r="S196" s="1"/>
      <c r="T196" s="1"/>
      <c r="U196" s="1"/>
      <c r="V196" s="296"/>
      <c r="W196" s="310"/>
      <c r="X196" s="310"/>
      <c r="Y196" s="310"/>
      <c r="Z196" s="310"/>
      <c r="AA196" s="310"/>
    </row>
    <row r="197" spans="1:27" s="44" customFormat="1" ht="15" customHeight="1">
      <c r="A197" s="325" t="s">
        <v>107</v>
      </c>
      <c r="B197" s="335"/>
      <c r="C197" s="328">
        <f t="shared" ref="C197:I197" si="48">IF(0.15*C184*$I$59-0.15&gt;0.9,0.9,0.15*C184*$I$59-0.15)</f>
        <v>0.47842859851368036</v>
      </c>
      <c r="D197" s="328">
        <f t="shared" si="48"/>
        <v>0.47842859851368036</v>
      </c>
      <c r="E197" s="328">
        <f t="shared" si="48"/>
        <v>0.47842859851368036</v>
      </c>
      <c r="F197" s="328">
        <f t="shared" si="48"/>
        <v>0.47842859851368036</v>
      </c>
      <c r="G197" s="328">
        <f t="shared" si="48"/>
        <v>0.47842859851368036</v>
      </c>
      <c r="H197" s="328">
        <f t="shared" si="48"/>
        <v>0.47842859851368036</v>
      </c>
      <c r="I197" s="329">
        <f t="shared" si="48"/>
        <v>0.47842859851368036</v>
      </c>
      <c r="J197" s="310"/>
      <c r="K197" s="310"/>
      <c r="L197" s="310"/>
      <c r="M197" s="310"/>
      <c r="N197" s="310"/>
      <c r="O197" s="310"/>
      <c r="P197" s="310"/>
      <c r="Q197" s="1"/>
      <c r="R197" s="1"/>
      <c r="S197" s="1"/>
      <c r="T197" s="1"/>
      <c r="U197" s="1"/>
      <c r="V197" s="296"/>
      <c r="W197" s="310"/>
      <c r="X197" s="310"/>
      <c r="Y197" s="310"/>
      <c r="Z197" s="310"/>
      <c r="AA197" s="310"/>
    </row>
    <row r="198" spans="1:27" s="44" customFormat="1" ht="15" customHeight="1">
      <c r="A198" s="336" t="s">
        <v>108</v>
      </c>
      <c r="B198" s="337"/>
      <c r="C198" s="330">
        <f t="shared" ref="C198:I198" si="49">IF(1-(C197*$I$21*1000)/(C187*$F$89*C175*LOOKUP($F82,$L1:$M5))&gt;1,1,1-(C197*$I$21*1000)/(C187*$F$89*C175*LOOKUP($F82,$L1:$M5)))</f>
        <v>0.53388748292962451</v>
      </c>
      <c r="D198" s="330">
        <f t="shared" si="49"/>
        <v>0.53388748292962451</v>
      </c>
      <c r="E198" s="330">
        <f t="shared" si="49"/>
        <v>0.53388748292962451</v>
      </c>
      <c r="F198" s="330">
        <f t="shared" si="49"/>
        <v>0.53388748292962451</v>
      </c>
      <c r="G198" s="330">
        <f t="shared" si="49"/>
        <v>0.53388748292962451</v>
      </c>
      <c r="H198" s="330">
        <f t="shared" si="49"/>
        <v>0.53388748292962451</v>
      </c>
      <c r="I198" s="331">
        <f t="shared" si="49"/>
        <v>0.53388748292962451</v>
      </c>
      <c r="J198" s="310"/>
      <c r="K198" s="310"/>
      <c r="L198" s="310"/>
      <c r="M198" s="310"/>
      <c r="N198" s="310"/>
      <c r="O198" s="310"/>
      <c r="P198" s="310"/>
      <c r="V198" s="296"/>
      <c r="W198" s="310"/>
      <c r="X198" s="310"/>
      <c r="Y198" s="310"/>
      <c r="Z198" s="310"/>
      <c r="AA198" s="310"/>
    </row>
    <row r="199" spans="1:27" s="44" customFormat="1" ht="15" customHeight="1">
      <c r="A199" s="338" t="s">
        <v>109</v>
      </c>
      <c r="C199" s="328">
        <f t="shared" ref="C199:I199" si="50">IF(C187&lt;C182,($I$21/(C187*$F$89)+C194*$I$40*1000/$E$92+C196*$I$61*1000/$E$93)/(C175*0.001*LOOKUP($F$82,$L$1:$M$5)),($I$21/(C182*$F$89)+C194*$I$40*1000/$E$92+C196*$I$61*1000/$E$93)/(C175*0.001*LOOKUP($F$82,$L$1:$M$5)))</f>
        <v>3.1012078751515717</v>
      </c>
      <c r="D199" s="333">
        <f t="shared" si="50"/>
        <v>3.1012078751515717</v>
      </c>
      <c r="E199" s="333">
        <f t="shared" si="50"/>
        <v>3.1012078751515717</v>
      </c>
      <c r="F199" s="333">
        <f t="shared" si="50"/>
        <v>3.1012078751515717</v>
      </c>
      <c r="G199" s="333">
        <f t="shared" si="50"/>
        <v>3.1012078751515717</v>
      </c>
      <c r="H199" s="333">
        <f t="shared" si="50"/>
        <v>3.1012078751515717</v>
      </c>
      <c r="I199" s="334">
        <f t="shared" si="50"/>
        <v>3.1012078751515717</v>
      </c>
      <c r="J199" s="310"/>
      <c r="K199" s="310"/>
      <c r="L199" s="310"/>
      <c r="M199" s="310"/>
      <c r="N199" s="310"/>
      <c r="O199" s="310"/>
      <c r="P199" s="310"/>
      <c r="V199" s="296"/>
      <c r="W199" s="310"/>
      <c r="X199" s="310"/>
      <c r="Y199" s="310"/>
      <c r="Z199" s="310"/>
      <c r="AA199" s="310"/>
    </row>
    <row r="200" spans="1:27" s="44" customFormat="1" ht="15" customHeight="1">
      <c r="A200" s="339" t="s">
        <v>0</v>
      </c>
      <c r="B200" s="340"/>
      <c r="C200" s="342">
        <f t="shared" ref="C200:I200" si="51">($I$21/(C187*$F$89)+C198*$I$40*1000/(C192*$E$92)+C196*$I$61*1000/$E$93)/(C175*0.001*LOOKUP($F$82,$L$1:$M$5))</f>
        <v>1.8209843180392566</v>
      </c>
      <c r="D200" s="342">
        <f t="shared" si="51"/>
        <v>1.8209843180392566</v>
      </c>
      <c r="E200" s="342">
        <f t="shared" si="51"/>
        <v>1.8209843180392566</v>
      </c>
      <c r="F200" s="342">
        <f t="shared" si="51"/>
        <v>1.8209843180392566</v>
      </c>
      <c r="G200" s="342">
        <f t="shared" si="51"/>
        <v>1.8209843180392566</v>
      </c>
      <c r="H200" s="342">
        <f t="shared" si="51"/>
        <v>1.8209843180392566</v>
      </c>
      <c r="I200" s="343">
        <f t="shared" si="51"/>
        <v>1.8209843180392566</v>
      </c>
      <c r="J200" s="310"/>
      <c r="K200" s="310"/>
      <c r="L200" s="310"/>
      <c r="M200" s="310"/>
      <c r="N200" s="310"/>
      <c r="O200" s="310"/>
      <c r="P200" s="310"/>
      <c r="V200" s="296"/>
      <c r="W200" s="310"/>
      <c r="X200" s="310"/>
      <c r="Y200" s="310"/>
      <c r="Z200" s="310"/>
      <c r="AA200" s="310"/>
    </row>
    <row r="201" spans="1:27" s="44" customFormat="1" ht="15" customHeight="1" thickBot="1">
      <c r="A201" s="344" t="s">
        <v>102</v>
      </c>
      <c r="B201" s="345"/>
      <c r="C201" s="346">
        <f t="shared" ref="C201:I201" si="52">IF(C200&gt;C199,C200,C199)</f>
        <v>3.1012078751515717</v>
      </c>
      <c r="D201" s="346">
        <f t="shared" si="52"/>
        <v>3.1012078751515717</v>
      </c>
      <c r="E201" s="346">
        <f t="shared" si="52"/>
        <v>3.1012078751515717</v>
      </c>
      <c r="F201" s="346">
        <f t="shared" si="52"/>
        <v>3.1012078751515717</v>
      </c>
      <c r="G201" s="346">
        <f t="shared" si="52"/>
        <v>3.1012078751515717</v>
      </c>
      <c r="H201" s="346">
        <f t="shared" si="52"/>
        <v>3.1012078751515717</v>
      </c>
      <c r="I201" s="347">
        <f t="shared" si="52"/>
        <v>3.1012078751515717</v>
      </c>
      <c r="J201" s="310"/>
      <c r="K201" s="310"/>
      <c r="L201" s="310"/>
      <c r="M201" s="310"/>
      <c r="N201" s="310"/>
      <c r="O201" s="310"/>
      <c r="P201" s="310"/>
      <c r="V201" s="296"/>
      <c r="W201" s="310"/>
      <c r="X201" s="310"/>
      <c r="Y201" s="310"/>
      <c r="Z201" s="310"/>
      <c r="AA201" s="310"/>
    </row>
    <row r="202" spans="1:27" s="44" customFormat="1" ht="15" hidden="1" customHeight="1">
      <c r="A202" s="338" t="s">
        <v>109</v>
      </c>
      <c r="C202" s="333">
        <f t="shared" ref="C202:I202" si="53">($I$21/(C187*$F$89)/(C175*0.001*LOOKUP($F$82,$L$1:$M$5)))</f>
        <v>0.97425722149226257</v>
      </c>
      <c r="D202" s="333">
        <f t="shared" si="53"/>
        <v>0.97425722149226257</v>
      </c>
      <c r="E202" s="333">
        <f t="shared" si="53"/>
        <v>0.97425722149226257</v>
      </c>
      <c r="F202" s="333">
        <f t="shared" si="53"/>
        <v>0.97425722149226257</v>
      </c>
      <c r="G202" s="333">
        <f t="shared" si="53"/>
        <v>0.97425722149226257</v>
      </c>
      <c r="H202" s="333">
        <f t="shared" si="53"/>
        <v>0.97425722149226257</v>
      </c>
      <c r="I202" s="334">
        <f t="shared" si="53"/>
        <v>0.97425722149226257</v>
      </c>
      <c r="J202" s="366"/>
      <c r="K202" s="428"/>
      <c r="L202" s="310"/>
      <c r="M202" s="310"/>
      <c r="N202" s="310"/>
      <c r="O202" s="310"/>
      <c r="P202" s="310"/>
      <c r="V202" s="296"/>
      <c r="W202" s="310"/>
      <c r="X202" s="310"/>
      <c r="Y202" s="310"/>
      <c r="Z202" s="310"/>
      <c r="AA202" s="310"/>
    </row>
    <row r="203" spans="1:27" s="44" customFormat="1" ht="15" hidden="1" customHeight="1">
      <c r="A203" s="338" t="s">
        <v>0</v>
      </c>
      <c r="C203" s="333">
        <f t="shared" ref="C203:I203" si="54">(C198*$I$40*1000/(C192*$E$92))/(C175*0.001*LOOKUP($F$82,$L$1:$M$5))</f>
        <v>0.30037109326397976</v>
      </c>
      <c r="D203" s="333">
        <f t="shared" si="54"/>
        <v>0.30037109326397976</v>
      </c>
      <c r="E203" s="333">
        <f t="shared" si="54"/>
        <v>0.30037109326397976</v>
      </c>
      <c r="F203" s="333">
        <f t="shared" si="54"/>
        <v>0.30037109326397976</v>
      </c>
      <c r="G203" s="333">
        <f t="shared" si="54"/>
        <v>0.30037109326397976</v>
      </c>
      <c r="H203" s="333">
        <f t="shared" si="54"/>
        <v>0.30037109326397976</v>
      </c>
      <c r="I203" s="334">
        <f t="shared" si="54"/>
        <v>0.30037109326397976</v>
      </c>
      <c r="J203" s="366"/>
      <c r="K203" s="428"/>
      <c r="L203" s="310"/>
      <c r="M203" s="310"/>
      <c r="N203" s="310"/>
      <c r="O203" s="310"/>
      <c r="P203" s="310"/>
      <c r="V203" s="296"/>
      <c r="W203" s="310"/>
      <c r="X203" s="310"/>
      <c r="Y203" s="310"/>
      <c r="Z203" s="310"/>
      <c r="AA203" s="310"/>
    </row>
    <row r="204" spans="1:27" s="44" customFormat="1" ht="12.75" hidden="1" customHeight="1" thickBot="1">
      <c r="A204" s="348" t="s">
        <v>102</v>
      </c>
      <c r="B204" s="123"/>
      <c r="C204" s="349">
        <f t="shared" ref="C204:I204" si="55">(C196*$I$61*1000/$E$93)/(C175*0.001*LOOKUP($F$82,$L$1:$M$5))</f>
        <v>0.54635600328301437</v>
      </c>
      <c r="D204" s="349">
        <f t="shared" si="55"/>
        <v>0.54635600328301437</v>
      </c>
      <c r="E204" s="349">
        <f t="shared" si="55"/>
        <v>0.54635600328301437</v>
      </c>
      <c r="F204" s="349">
        <f t="shared" si="55"/>
        <v>0.54635600328301437</v>
      </c>
      <c r="G204" s="349">
        <f t="shared" si="55"/>
        <v>0.54635600328301437</v>
      </c>
      <c r="H204" s="349">
        <f t="shared" si="55"/>
        <v>0.54635600328301437</v>
      </c>
      <c r="I204" s="350">
        <f t="shared" si="55"/>
        <v>0.54635600328301437</v>
      </c>
      <c r="J204" s="366"/>
      <c r="K204" s="428"/>
      <c r="L204" s="310"/>
      <c r="M204" s="310"/>
      <c r="N204" s="310"/>
      <c r="O204" s="310"/>
      <c r="P204" s="310"/>
      <c r="V204" s="296"/>
      <c r="W204" s="310"/>
      <c r="X204" s="310"/>
      <c r="Y204" s="310"/>
      <c r="Z204" s="310"/>
      <c r="AA204" s="310"/>
    </row>
    <row r="205" spans="1:27" s="44" customFormat="1" ht="12.75" hidden="1" customHeight="1">
      <c r="B205" s="284"/>
      <c r="C205" s="351">
        <f>VLOOKUP(C174,'ky-kE-kp'!$A$3:$E$15,1)</f>
        <v>0</v>
      </c>
      <c r="D205" s="351">
        <f>VLOOKUP(D174,'ky-kE-kp'!$A$3:$E$15,1)</f>
        <v>0</v>
      </c>
      <c r="E205" s="351">
        <f>VLOOKUP(E174,'ky-kE-kp'!$A$3:$E$15,1)</f>
        <v>0</v>
      </c>
      <c r="F205" s="351">
        <f>VLOOKUP(F174,'ky-kE-kp'!$A$3:$E$15,1)</f>
        <v>0</v>
      </c>
      <c r="G205" s="351">
        <f>VLOOKUP(G174,'ky-kE-kp'!$A$3:$E$15,1)</f>
        <v>0</v>
      </c>
      <c r="H205" s="351">
        <f>VLOOKUP(H174,'ky-kE-kp'!$A$3:$E$15,1)</f>
        <v>0</v>
      </c>
      <c r="I205" s="351">
        <f>VLOOKUP(I174,'ky-kE-kp'!$A$3:$E$15,1)</f>
        <v>0</v>
      </c>
      <c r="J205" s="367"/>
      <c r="K205" s="429"/>
      <c r="L205" s="310"/>
      <c r="M205" s="310"/>
      <c r="N205" s="310"/>
      <c r="O205" s="310"/>
      <c r="P205" s="310"/>
      <c r="V205" s="296"/>
      <c r="W205" s="310"/>
      <c r="X205" s="310"/>
      <c r="Y205" s="310"/>
      <c r="Z205" s="310"/>
      <c r="AA205" s="310"/>
    </row>
    <row r="206" spans="1:27" s="44" customFormat="1" ht="12.75" hidden="1" customHeight="1">
      <c r="B206" s="284"/>
      <c r="C206" s="352">
        <f>VLOOKUP(C174,'ky-kE-kp'!$A$3:$E$15,2)</f>
        <v>1</v>
      </c>
      <c r="D206" s="352">
        <f>VLOOKUP(D174,'ky-kE-kp'!$A$3:$E$15,2)</f>
        <v>1</v>
      </c>
      <c r="E206" s="352">
        <f>VLOOKUP(E174,'ky-kE-kp'!$A$3:$E$15,2)</f>
        <v>1</v>
      </c>
      <c r="F206" s="352">
        <f>VLOOKUP(F174,'ky-kE-kp'!$A$3:$E$15,2)</f>
        <v>1</v>
      </c>
      <c r="G206" s="352">
        <f>VLOOKUP(G174,'ky-kE-kp'!$A$3:$E$15,2)</f>
        <v>1</v>
      </c>
      <c r="H206" s="352">
        <f>VLOOKUP(H174,'ky-kE-kp'!$A$3:$E$15,2)</f>
        <v>1</v>
      </c>
      <c r="I206" s="352">
        <f>VLOOKUP(I174,'ky-kE-kp'!$A$3:$E$15,2)</f>
        <v>1</v>
      </c>
      <c r="J206" s="368"/>
      <c r="K206" s="430"/>
      <c r="L206" s="310"/>
      <c r="M206" s="310"/>
      <c r="N206" s="310"/>
      <c r="O206" s="310"/>
      <c r="P206" s="310"/>
      <c r="V206" s="296"/>
      <c r="W206" s="310"/>
      <c r="X206" s="310"/>
      <c r="Y206" s="310"/>
      <c r="Z206" s="310"/>
      <c r="AA206" s="310"/>
    </row>
    <row r="207" spans="1:27" ht="12.75" hidden="1" customHeight="1">
      <c r="A207" s="44"/>
      <c r="B207" s="284"/>
      <c r="C207" s="352">
        <f>VLOOKUP(C174,'ky-kE-kp'!$A$3:$E$15,4)</f>
        <v>1</v>
      </c>
      <c r="D207" s="352">
        <f>VLOOKUP(D174,'ky-kE-kp'!$A$3:$E$15,4)</f>
        <v>1</v>
      </c>
      <c r="E207" s="352">
        <f>VLOOKUP(E174,'ky-kE-kp'!$A$3:$E$15,4)</f>
        <v>1</v>
      </c>
      <c r="F207" s="352">
        <f>VLOOKUP(F174,'ky-kE-kp'!$A$3:$E$15,4)</f>
        <v>1</v>
      </c>
      <c r="G207" s="352">
        <f>VLOOKUP(G174,'ky-kE-kp'!$A$3:$E$15,4)</f>
        <v>1</v>
      </c>
      <c r="H207" s="352">
        <f>VLOOKUP(H174,'ky-kE-kp'!$A$3:$E$15,4)</f>
        <v>1</v>
      </c>
      <c r="I207" s="352">
        <f>VLOOKUP(I174,'ky-kE-kp'!$A$3:$E$15,4)</f>
        <v>1</v>
      </c>
      <c r="J207" s="368"/>
      <c r="K207" s="430"/>
      <c r="L207" s="296"/>
      <c r="M207" s="296"/>
      <c r="N207" s="296"/>
      <c r="O207" s="296"/>
      <c r="P207" s="296"/>
      <c r="V207" s="296"/>
      <c r="W207" s="296"/>
      <c r="X207" s="296"/>
      <c r="Y207" s="296"/>
      <c r="Z207" s="296"/>
      <c r="AA207" s="296"/>
    </row>
    <row r="208" spans="1:27" hidden="1">
      <c r="C208" s="353">
        <f>VLOOKUP(C174+100,'ky-kE-kp'!$A$3:$E$15,2)</f>
        <v>1</v>
      </c>
      <c r="D208" s="353">
        <f>VLOOKUP(D174+100,'ky-kE-kp'!$A$3:$E$15,2)</f>
        <v>1</v>
      </c>
      <c r="E208" s="353">
        <f>VLOOKUP(E174+100,'ky-kE-kp'!$A$3:$E$15,2)</f>
        <v>1</v>
      </c>
      <c r="F208" s="353">
        <f>VLOOKUP(F174+100,'ky-kE-kp'!$A$3:$E$15,2)</f>
        <v>1</v>
      </c>
      <c r="G208" s="353">
        <f>VLOOKUP(G174+100,'ky-kE-kp'!$A$3:$E$15,2)</f>
        <v>1</v>
      </c>
      <c r="H208" s="353">
        <f>VLOOKUP(H174+100,'ky-kE-kp'!$A$3:$E$15,2)</f>
        <v>1</v>
      </c>
      <c r="I208" s="353">
        <f>VLOOKUP(I174+100,'ky-kE-kp'!$A$3:$E$15,2)</f>
        <v>1</v>
      </c>
      <c r="J208" s="369"/>
      <c r="K208" s="431"/>
      <c r="L208" s="296"/>
      <c r="M208" s="296"/>
      <c r="N208" s="296"/>
      <c r="O208" s="296"/>
      <c r="P208" s="296"/>
      <c r="V208" s="296"/>
      <c r="W208" s="296"/>
      <c r="X208" s="296"/>
      <c r="Y208" s="296"/>
      <c r="Z208" s="296"/>
      <c r="AA208" s="296"/>
    </row>
    <row r="209" spans="3:27" hidden="1">
      <c r="C209" s="353">
        <f>VLOOKUP(C174+100,'ky-kE-kp'!$A$3:$E$15,4)</f>
        <v>1</v>
      </c>
      <c r="D209" s="353">
        <f>VLOOKUP(D174+100,'ky-kE-kp'!$A$3:$E$15,4)</f>
        <v>1</v>
      </c>
      <c r="E209" s="353">
        <f>VLOOKUP(E174+100,'ky-kE-kp'!$A$3:$E$15,4)</f>
        <v>1</v>
      </c>
      <c r="F209" s="353">
        <f>VLOOKUP(F174+100,'ky-kE-kp'!$A$3:$E$15,4)</f>
        <v>1</v>
      </c>
      <c r="G209" s="353">
        <f>VLOOKUP(G174+100,'ky-kE-kp'!$A$3:$E$15,4)</f>
        <v>1</v>
      </c>
      <c r="H209" s="353">
        <f>VLOOKUP(H174+100,'ky-kE-kp'!$A$3:$E$15,4)</f>
        <v>1</v>
      </c>
      <c r="I209" s="353">
        <f>VLOOKUP(I174+100,'ky-kE-kp'!$A$3:$E$15,4)</f>
        <v>1</v>
      </c>
      <c r="J209" s="369"/>
      <c r="K209" s="431"/>
      <c r="L209" s="296"/>
      <c r="M209" s="296"/>
      <c r="N209" s="296"/>
      <c r="O209" s="296"/>
      <c r="P209" s="296"/>
      <c r="V209" s="296"/>
      <c r="W209" s="296"/>
      <c r="X209" s="296"/>
      <c r="Y209" s="296"/>
      <c r="Z209" s="296"/>
      <c r="AA209" s="296"/>
    </row>
    <row r="210" spans="3:27" hidden="1">
      <c r="C210" s="354">
        <f t="shared" ref="C210:I210" si="56">C204+C203+C202</f>
        <v>1.8209843180392569</v>
      </c>
      <c r="D210" s="354">
        <f t="shared" si="56"/>
        <v>1.8209843180392569</v>
      </c>
      <c r="E210" s="354">
        <f t="shared" si="56"/>
        <v>1.8209843180392569</v>
      </c>
      <c r="F210" s="354">
        <f t="shared" si="56"/>
        <v>1.8209843180392569</v>
      </c>
      <c r="G210" s="354">
        <f t="shared" si="56"/>
        <v>1.8209843180392569</v>
      </c>
      <c r="H210" s="354">
        <f t="shared" si="56"/>
        <v>1.8209843180392569</v>
      </c>
      <c r="I210" s="354">
        <f t="shared" si="56"/>
        <v>1.8209843180392569</v>
      </c>
      <c r="J210" s="370"/>
      <c r="K210" s="432"/>
      <c r="L210" s="296"/>
      <c r="M210" s="296"/>
      <c r="N210" s="296"/>
      <c r="O210" s="296"/>
      <c r="P210" s="296"/>
      <c r="V210" s="296"/>
      <c r="W210" s="296"/>
      <c r="X210" s="296"/>
      <c r="Y210" s="296"/>
      <c r="Z210" s="296"/>
      <c r="AA210" s="296"/>
    </row>
    <row r="211" spans="3:27">
      <c r="C211" s="296"/>
      <c r="D211" s="296"/>
      <c r="E211" s="296"/>
      <c r="F211" s="296"/>
      <c r="G211" s="296"/>
      <c r="H211" s="296"/>
      <c r="J211" s="371"/>
      <c r="K211" s="371"/>
      <c r="L211" s="296"/>
      <c r="M211" s="296"/>
      <c r="N211" s="296"/>
      <c r="O211" s="296"/>
      <c r="P211" s="296"/>
      <c r="V211" s="296"/>
      <c r="W211" s="296"/>
      <c r="X211" s="296"/>
      <c r="Y211" s="296"/>
      <c r="Z211" s="296"/>
      <c r="AA211" s="296"/>
    </row>
    <row r="212" spans="3:27" hidden="1">
      <c r="J212" s="371"/>
      <c r="K212" s="371"/>
      <c r="L212" s="296"/>
      <c r="M212" s="296"/>
      <c r="N212" s="296"/>
      <c r="O212" s="296"/>
      <c r="P212" s="296"/>
      <c r="V212" s="296"/>
      <c r="W212" s="296"/>
      <c r="X212" s="296"/>
      <c r="Y212" s="296"/>
      <c r="Z212" s="296"/>
      <c r="AA212" s="296"/>
    </row>
    <row r="213" spans="3:27" hidden="1">
      <c r="J213" s="371"/>
      <c r="K213" s="371"/>
      <c r="L213" s="296"/>
      <c r="M213" s="296"/>
      <c r="N213" s="296"/>
      <c r="O213" s="296"/>
      <c r="P213" s="296"/>
      <c r="V213" s="296"/>
      <c r="W213" s="296"/>
      <c r="X213" s="296"/>
      <c r="Y213" s="296"/>
      <c r="Z213" s="296"/>
      <c r="AA213" s="296"/>
    </row>
    <row r="214" spans="3:27" hidden="1">
      <c r="J214" s="371"/>
      <c r="K214" s="371"/>
      <c r="L214" s="296"/>
      <c r="M214" s="296"/>
      <c r="N214" s="296"/>
      <c r="O214" s="296"/>
      <c r="P214" s="296"/>
      <c r="V214" s="296"/>
      <c r="W214" s="296"/>
      <c r="X214" s="296"/>
      <c r="Y214" s="296"/>
      <c r="Z214" s="296"/>
      <c r="AA214" s="296"/>
    </row>
    <row r="215" spans="3:27" hidden="1">
      <c r="C215" s="296"/>
      <c r="D215" s="296"/>
      <c r="E215" s="296"/>
      <c r="F215" s="296"/>
      <c r="G215" s="296"/>
      <c r="H215" s="296"/>
      <c r="I215" s="296"/>
      <c r="J215" s="371"/>
      <c r="K215" s="371"/>
      <c r="L215" s="296"/>
      <c r="M215" s="296"/>
      <c r="N215" s="296"/>
      <c r="O215" s="296"/>
      <c r="P215" s="296"/>
      <c r="V215" s="296"/>
      <c r="W215" s="296"/>
      <c r="X215" s="296"/>
      <c r="Y215" s="296"/>
      <c r="Z215" s="296"/>
      <c r="AA215" s="296"/>
    </row>
    <row r="216" spans="3:27" hidden="1">
      <c r="C216" s="296"/>
      <c r="D216" s="296"/>
      <c r="E216" s="296"/>
      <c r="F216" s="296"/>
      <c r="G216" s="296"/>
      <c r="H216" s="296"/>
      <c r="I216" s="296"/>
      <c r="L216" s="296"/>
      <c r="M216" s="296"/>
      <c r="N216" s="296"/>
      <c r="O216" s="296"/>
      <c r="P216" s="296"/>
      <c r="V216" s="296"/>
      <c r="W216" s="296"/>
      <c r="X216" s="296"/>
      <c r="Y216" s="296"/>
      <c r="Z216" s="296"/>
      <c r="AA216" s="296"/>
    </row>
    <row r="217" spans="3:27" hidden="1">
      <c r="L217" s="296"/>
      <c r="M217" s="296"/>
      <c r="N217" s="296"/>
      <c r="O217" s="296"/>
      <c r="P217" s="296"/>
      <c r="V217" s="296"/>
      <c r="W217" s="296"/>
      <c r="X217" s="296"/>
      <c r="Y217" s="296"/>
      <c r="Z217" s="296"/>
      <c r="AA217" s="296"/>
    </row>
    <row r="218" spans="3:27" hidden="1">
      <c r="L218" s="296"/>
      <c r="M218" s="296"/>
      <c r="N218" s="296"/>
      <c r="O218" s="296"/>
      <c r="P218" s="296"/>
      <c r="U218" s="1"/>
      <c r="V218" s="296"/>
      <c r="W218" s="296"/>
      <c r="X218" s="296"/>
      <c r="Y218" s="296"/>
      <c r="Z218" s="296"/>
      <c r="AA218" s="296"/>
    </row>
    <row r="219" spans="3:27" hidden="1">
      <c r="L219" s="296"/>
      <c r="M219" s="296"/>
      <c r="N219" s="296"/>
      <c r="O219" s="296"/>
      <c r="P219" s="296"/>
      <c r="U219" s="1"/>
      <c r="V219" s="296"/>
      <c r="W219" s="296"/>
      <c r="X219" s="296"/>
      <c r="Y219" s="296"/>
      <c r="Z219" s="296"/>
      <c r="AA219" s="296"/>
    </row>
    <row r="220" spans="3:27" hidden="1">
      <c r="L220" s="296"/>
      <c r="M220" s="296"/>
      <c r="N220" s="296"/>
      <c r="O220" s="296"/>
      <c r="P220" s="296"/>
      <c r="U220" s="1"/>
      <c r="V220" s="296"/>
      <c r="W220" s="296"/>
      <c r="X220" s="296"/>
      <c r="Y220" s="296"/>
      <c r="Z220" s="296"/>
      <c r="AA220" s="296"/>
    </row>
    <row r="221" spans="3:27" hidden="1">
      <c r="L221" s="296"/>
      <c r="M221" s="296"/>
      <c r="N221" s="296"/>
      <c r="O221" s="296"/>
      <c r="P221" s="296"/>
      <c r="U221" s="1"/>
      <c r="V221" s="296"/>
      <c r="W221" s="296"/>
      <c r="X221" s="296"/>
      <c r="Y221" s="296"/>
      <c r="Z221" s="296"/>
      <c r="AA221" s="296"/>
    </row>
    <row r="222" spans="3:27" hidden="1">
      <c r="L222" s="296"/>
      <c r="M222" s="296"/>
      <c r="N222" s="296"/>
      <c r="O222" s="296"/>
      <c r="P222" s="296"/>
      <c r="U222" s="1"/>
      <c r="V222" s="296"/>
      <c r="W222" s="296"/>
      <c r="X222" s="296"/>
      <c r="Y222" s="296"/>
      <c r="Z222" s="296"/>
      <c r="AA222" s="296"/>
    </row>
    <row r="223" spans="3:27" hidden="1">
      <c r="L223" s="296"/>
      <c r="M223" s="296"/>
      <c r="N223" s="296"/>
      <c r="O223" s="296"/>
      <c r="P223" s="296"/>
      <c r="U223" s="1"/>
      <c r="V223" s="296"/>
      <c r="W223" s="296"/>
      <c r="X223" s="296"/>
      <c r="Y223" s="296"/>
      <c r="Z223" s="296"/>
      <c r="AA223" s="296"/>
    </row>
    <row r="224" spans="3:27" hidden="1">
      <c r="L224" s="296"/>
      <c r="M224" s="296"/>
      <c r="N224" s="296"/>
      <c r="O224" s="296"/>
      <c r="P224" s="296"/>
      <c r="U224" s="1"/>
      <c r="V224" s="296"/>
      <c r="W224" s="296"/>
      <c r="X224" s="296"/>
      <c r="Y224" s="296"/>
      <c r="Z224" s="296"/>
      <c r="AA224" s="296"/>
    </row>
    <row r="225" spans="1:27" hidden="1">
      <c r="L225" s="296"/>
      <c r="M225" s="296"/>
      <c r="N225" s="296"/>
      <c r="O225" s="296"/>
      <c r="P225" s="296"/>
      <c r="U225" s="1"/>
      <c r="V225" s="296"/>
      <c r="W225" s="296"/>
      <c r="X225" s="296"/>
      <c r="Y225" s="296"/>
      <c r="Z225" s="296"/>
      <c r="AA225" s="296"/>
    </row>
    <row r="226" spans="1:27" hidden="1">
      <c r="L226" s="296"/>
      <c r="M226" s="296"/>
      <c r="N226" s="296"/>
      <c r="O226" s="296"/>
      <c r="P226" s="296"/>
      <c r="U226" s="1"/>
      <c r="V226" s="296"/>
      <c r="W226" s="296"/>
      <c r="X226" s="296"/>
      <c r="Y226" s="296"/>
      <c r="Z226" s="296"/>
      <c r="AA226" s="296"/>
    </row>
    <row r="227" spans="1:27">
      <c r="L227" s="296"/>
      <c r="M227" s="296"/>
      <c r="N227" s="296"/>
      <c r="O227" s="296"/>
      <c r="P227" s="296"/>
      <c r="U227" s="1"/>
      <c r="V227" s="296"/>
      <c r="W227" s="296"/>
      <c r="X227" s="296"/>
      <c r="Y227" s="296"/>
      <c r="Z227" s="296"/>
      <c r="AA227" s="296"/>
    </row>
    <row r="228" spans="1:27">
      <c r="A228" s="33" t="s">
        <v>79</v>
      </c>
      <c r="L228" s="296"/>
      <c r="M228" s="296"/>
      <c r="N228" s="296"/>
      <c r="O228" s="296"/>
      <c r="P228" s="296"/>
      <c r="U228" s="1"/>
      <c r="V228" s="310"/>
      <c r="W228" s="296"/>
      <c r="X228" s="296"/>
      <c r="Y228" s="296"/>
      <c r="Z228" s="296"/>
      <c r="AA228" s="296"/>
    </row>
    <row r="229" spans="1:27" ht="15" customHeight="1">
      <c r="L229" s="296"/>
      <c r="M229" s="296"/>
      <c r="N229" s="296"/>
      <c r="O229" s="296"/>
      <c r="P229" s="296"/>
      <c r="U229" s="1"/>
      <c r="V229" s="310"/>
      <c r="W229" s="296"/>
      <c r="X229" s="296"/>
      <c r="Y229" s="296"/>
      <c r="Z229" s="296"/>
      <c r="AA229" s="296"/>
    </row>
    <row r="230" spans="1:27" ht="15" customHeight="1">
      <c r="A230" s="1" t="s">
        <v>41</v>
      </c>
      <c r="L230" s="296"/>
      <c r="M230" s="296"/>
      <c r="N230" s="296"/>
      <c r="O230" s="296"/>
      <c r="P230" s="296"/>
      <c r="U230" s="1"/>
      <c r="V230" s="310"/>
      <c r="W230" s="296"/>
      <c r="X230" s="296"/>
      <c r="Y230" s="296"/>
      <c r="Z230" s="296"/>
      <c r="AA230" s="296"/>
    </row>
    <row r="231" spans="1:27" ht="15" customHeight="1">
      <c r="A231" s="1" t="s">
        <v>42</v>
      </c>
      <c r="L231" s="296"/>
      <c r="M231" s="296"/>
      <c r="N231" s="296"/>
      <c r="O231" s="296"/>
      <c r="P231" s="296"/>
      <c r="U231" s="1"/>
      <c r="V231" s="310"/>
      <c r="W231" s="296"/>
      <c r="X231" s="296"/>
      <c r="Y231" s="296"/>
      <c r="Z231" s="296"/>
      <c r="AA231" s="296"/>
    </row>
    <row r="232" spans="1:27" ht="15" customHeight="1">
      <c r="A232" s="44" t="s">
        <v>8</v>
      </c>
      <c r="L232" s="296"/>
      <c r="M232" s="296"/>
      <c r="N232" s="296"/>
      <c r="O232" s="296"/>
      <c r="P232" s="296"/>
      <c r="U232" s="1"/>
      <c r="V232" s="310"/>
      <c r="W232" s="296"/>
      <c r="X232" s="296"/>
      <c r="Y232" s="296"/>
      <c r="Z232" s="296"/>
      <c r="AA232" s="296"/>
    </row>
    <row r="233" spans="1:27" ht="15" customHeight="1">
      <c r="A233" s="44" t="s">
        <v>9</v>
      </c>
      <c r="L233" s="296"/>
      <c r="M233" s="296"/>
      <c r="N233" s="296"/>
      <c r="O233" s="296"/>
      <c r="P233" s="296"/>
      <c r="U233" s="1"/>
      <c r="V233" s="310"/>
      <c r="W233" s="296"/>
      <c r="X233" s="296"/>
      <c r="Y233" s="296"/>
      <c r="Z233" s="296"/>
      <c r="AA233" s="296"/>
    </row>
    <row r="234" spans="1:27" ht="15" customHeight="1">
      <c r="A234" s="1" t="s">
        <v>246</v>
      </c>
      <c r="L234" s="296"/>
      <c r="M234" s="296"/>
      <c r="N234" s="296"/>
      <c r="O234" s="296"/>
      <c r="P234" s="296"/>
      <c r="U234" s="1"/>
      <c r="V234" s="310"/>
      <c r="W234" s="296"/>
      <c r="X234" s="296"/>
      <c r="Y234" s="296"/>
      <c r="Z234" s="296"/>
      <c r="AA234" s="296"/>
    </row>
    <row r="235" spans="1:27" ht="15" customHeight="1">
      <c r="A235" s="1" t="s">
        <v>247</v>
      </c>
      <c r="L235" s="296"/>
      <c r="M235" s="296"/>
      <c r="N235" s="296"/>
      <c r="O235" s="296"/>
      <c r="P235" s="296"/>
      <c r="U235" s="1"/>
      <c r="V235" s="310"/>
      <c r="W235" s="296"/>
      <c r="X235" s="296"/>
      <c r="Y235" s="296"/>
      <c r="Z235" s="296"/>
      <c r="AA235" s="296"/>
    </row>
    <row r="236" spans="1:27" ht="15" customHeight="1">
      <c r="A236" s="44" t="s">
        <v>5</v>
      </c>
      <c r="L236" s="296"/>
      <c r="M236" s="296"/>
      <c r="N236" s="296"/>
      <c r="O236" s="296"/>
      <c r="P236" s="296"/>
      <c r="U236" s="1"/>
      <c r="V236" s="310"/>
      <c r="W236" s="296"/>
      <c r="X236" s="296"/>
      <c r="Y236" s="296"/>
      <c r="Z236" s="296"/>
      <c r="AA236" s="296"/>
    </row>
    <row r="237" spans="1:27" ht="15" customHeight="1">
      <c r="A237" t="s">
        <v>11</v>
      </c>
      <c r="B237" s="284"/>
      <c r="C237" s="44"/>
      <c r="D237" s="44"/>
      <c r="E237" s="44"/>
      <c r="L237" s="296"/>
      <c r="M237" s="296"/>
      <c r="N237" s="296"/>
      <c r="O237" s="296"/>
      <c r="P237" s="296"/>
      <c r="U237" s="1"/>
      <c r="V237" s="310"/>
      <c r="W237" s="296"/>
      <c r="X237" s="296"/>
      <c r="Y237" s="296"/>
      <c r="Z237" s="296"/>
      <c r="AA237" s="296"/>
    </row>
    <row r="238" spans="1:27" ht="15" customHeight="1">
      <c r="A238" s="44" t="s">
        <v>12</v>
      </c>
      <c r="B238" s="284"/>
      <c r="C238" s="44"/>
      <c r="D238" s="44"/>
      <c r="E238" s="44"/>
      <c r="L238" s="296"/>
      <c r="M238" s="296"/>
      <c r="N238" s="296"/>
      <c r="O238" s="296"/>
      <c r="P238" s="296"/>
      <c r="U238" s="1"/>
      <c r="V238" s="310"/>
      <c r="W238" s="296"/>
      <c r="X238" s="296"/>
      <c r="Y238" s="296"/>
      <c r="Z238" s="296"/>
      <c r="AA238" s="296"/>
    </row>
    <row r="239" spans="1:27" ht="15" customHeight="1">
      <c r="A239" s="262" t="s">
        <v>13</v>
      </c>
      <c r="B239" s="284"/>
      <c r="C239" s="44"/>
      <c r="D239" s="44"/>
      <c r="E239" s="44"/>
      <c r="L239" s="296"/>
      <c r="M239" s="296"/>
      <c r="N239" s="296"/>
      <c r="O239" s="296"/>
      <c r="P239" s="296"/>
      <c r="U239" s="1"/>
      <c r="V239" s="310"/>
      <c r="W239" s="296"/>
      <c r="X239" s="296"/>
      <c r="Y239" s="296"/>
      <c r="Z239" s="296"/>
      <c r="AA239" s="296"/>
    </row>
    <row r="240" spans="1:27" ht="15" customHeight="1">
      <c r="A240" s="44" t="s">
        <v>14</v>
      </c>
      <c r="B240" s="284"/>
      <c r="C240" s="44"/>
      <c r="D240" s="44"/>
      <c r="E240" s="44"/>
      <c r="L240" s="296"/>
      <c r="M240" s="296"/>
      <c r="N240" s="296"/>
      <c r="O240" s="296"/>
      <c r="P240" s="296"/>
      <c r="U240" s="1"/>
      <c r="V240" s="296"/>
      <c r="W240" s="296"/>
      <c r="X240" s="296"/>
      <c r="Y240" s="296"/>
      <c r="Z240" s="296"/>
      <c r="AA240" s="296"/>
    </row>
    <row r="241" spans="1:27" ht="15" customHeight="1">
      <c r="A241" s="262" t="s">
        <v>15</v>
      </c>
      <c r="B241" s="284"/>
      <c r="C241" s="44"/>
      <c r="D241" s="44"/>
      <c r="E241" s="44"/>
      <c r="L241" s="296"/>
      <c r="M241" s="296"/>
      <c r="N241" s="296"/>
      <c r="O241" s="296"/>
      <c r="P241" s="296"/>
      <c r="U241" s="1"/>
      <c r="V241" s="296"/>
      <c r="W241" s="296"/>
      <c r="X241" s="296"/>
      <c r="Y241" s="296"/>
      <c r="Z241" s="296"/>
      <c r="AA241" s="296"/>
    </row>
    <row r="242" spans="1:27" ht="15" customHeight="1">
      <c r="A242" s="44" t="s">
        <v>16</v>
      </c>
      <c r="B242" s="284"/>
      <c r="C242" s="44"/>
      <c r="D242" s="44"/>
      <c r="E242" s="44"/>
      <c r="L242" s="296"/>
      <c r="M242" s="296"/>
      <c r="N242" s="296"/>
      <c r="O242" s="296"/>
      <c r="P242" s="296"/>
      <c r="U242" s="1"/>
      <c r="V242" s="296"/>
      <c r="W242" s="296"/>
      <c r="X242" s="296"/>
      <c r="Y242" s="296"/>
      <c r="Z242" s="296"/>
      <c r="AA242" s="296"/>
    </row>
    <row r="243" spans="1:27" ht="15" customHeight="1">
      <c r="A243" s="262" t="s">
        <v>17</v>
      </c>
      <c r="B243" s="284"/>
      <c r="C243" s="44"/>
      <c r="D243" s="44"/>
      <c r="E243" s="44"/>
      <c r="L243" s="296"/>
      <c r="M243" s="296"/>
      <c r="N243" s="296"/>
      <c r="O243" s="296"/>
      <c r="P243" s="296"/>
      <c r="U243" s="1"/>
      <c r="V243" s="296"/>
      <c r="W243" s="296"/>
      <c r="X243" s="296"/>
      <c r="Y243" s="296"/>
      <c r="Z243" s="296"/>
      <c r="AA243" s="296"/>
    </row>
    <row r="244" spans="1:27" ht="15" customHeight="1">
      <c r="A244" s="44" t="s">
        <v>10</v>
      </c>
      <c r="L244" s="296"/>
      <c r="M244" s="296"/>
      <c r="N244" s="296"/>
      <c r="O244" s="296"/>
      <c r="P244" s="296"/>
      <c r="U244" s="1"/>
      <c r="V244" s="296"/>
      <c r="W244" s="296"/>
      <c r="X244" s="296"/>
      <c r="Y244" s="296"/>
      <c r="Z244" s="296"/>
      <c r="AA244" s="296"/>
    </row>
    <row r="245" spans="1:27" ht="15" customHeight="1">
      <c r="A245" s="44" t="s">
        <v>6</v>
      </c>
      <c r="L245" s="296"/>
      <c r="M245" s="296"/>
      <c r="N245" s="296"/>
      <c r="O245" s="296"/>
      <c r="P245" s="296"/>
      <c r="U245" s="1"/>
      <c r="V245" s="296"/>
      <c r="W245" s="296"/>
      <c r="X245" s="296"/>
      <c r="Y245" s="296"/>
      <c r="Z245" s="296"/>
      <c r="AA245" s="296"/>
    </row>
    <row r="246" spans="1:27" ht="15" customHeight="1">
      <c r="A246" s="44" t="s">
        <v>7</v>
      </c>
      <c r="L246" s="296"/>
      <c r="M246" s="296"/>
      <c r="N246" s="296"/>
      <c r="O246" s="296"/>
      <c r="P246" s="296"/>
      <c r="U246" s="1"/>
      <c r="V246" s="296"/>
      <c r="W246" s="296"/>
      <c r="X246" s="296"/>
      <c r="Y246" s="296"/>
      <c r="Z246" s="296"/>
      <c r="AA246" s="296"/>
    </row>
    <row r="247" spans="1:27" ht="15" customHeight="1">
      <c r="M247" s="296"/>
      <c r="N247" s="296"/>
      <c r="O247" s="296"/>
      <c r="P247" s="296"/>
      <c r="U247" s="1"/>
      <c r="V247" s="296"/>
      <c r="W247" s="296"/>
      <c r="X247" s="296"/>
      <c r="Y247" s="296"/>
      <c r="Z247" s="296"/>
      <c r="AA247" s="296"/>
    </row>
    <row r="248" spans="1:27" ht="15" customHeight="1">
      <c r="M248" s="296"/>
      <c r="N248" s="296"/>
      <c r="O248" s="296"/>
      <c r="P248" s="296"/>
      <c r="U248" s="1"/>
      <c r="V248" s="296"/>
      <c r="W248" s="296"/>
      <c r="X248" s="296"/>
      <c r="Y248" s="296"/>
      <c r="Z248" s="296"/>
      <c r="AA248" s="296"/>
    </row>
    <row r="249" spans="1:27" ht="15" customHeight="1">
      <c r="U249" s="1"/>
      <c r="V249" s="296"/>
    </row>
    <row r="250" spans="1:27" ht="15" customHeight="1">
      <c r="B250" s="1"/>
      <c r="U250" s="1"/>
      <c r="V250" s="296"/>
    </row>
    <row r="251" spans="1:27" ht="15" customHeight="1">
      <c r="B251" s="1"/>
      <c r="U251" s="1"/>
      <c r="V251" s="296"/>
    </row>
    <row r="252" spans="1:27" ht="15" customHeight="1">
      <c r="B252" s="1"/>
      <c r="U252" s="1"/>
      <c r="V252" s="296"/>
    </row>
    <row r="253" spans="1:27" ht="15" customHeight="1">
      <c r="B253" s="1"/>
      <c r="U253" s="1"/>
      <c r="V253" s="296"/>
    </row>
    <row r="254" spans="1:27" ht="15" customHeight="1">
      <c r="B254" s="1"/>
      <c r="U254" s="1"/>
      <c r="V254" s="296"/>
    </row>
    <row r="255" spans="1:27" ht="15" customHeight="1">
      <c r="B255" s="1"/>
      <c r="U255" s="1"/>
      <c r="V255" s="296"/>
    </row>
    <row r="256" spans="1:27" ht="15" customHeight="1">
      <c r="B256" s="1"/>
      <c r="U256" s="1"/>
      <c r="V256" s="296"/>
    </row>
    <row r="257" spans="2:22" ht="15" customHeight="1">
      <c r="B257" s="1"/>
      <c r="U257" s="1"/>
      <c r="V257" s="296"/>
    </row>
    <row r="258" spans="2:22" ht="15" customHeight="1">
      <c r="U258" s="1"/>
      <c r="V258" s="296"/>
    </row>
    <row r="259" spans="2:22" ht="15" customHeight="1">
      <c r="B259" s="1"/>
      <c r="U259" s="1"/>
      <c r="V259" s="296"/>
    </row>
    <row r="260" spans="2:22" ht="15" customHeight="1">
      <c r="B260" s="1"/>
      <c r="L260" s="266" t="s">
        <v>47</v>
      </c>
      <c r="U260" s="1"/>
      <c r="V260" s="296"/>
    </row>
    <row r="261" spans="2:22" ht="15" customHeight="1">
      <c r="B261" s="1"/>
      <c r="U261" s="1"/>
      <c r="V261" s="296"/>
    </row>
    <row r="262" spans="2:22" ht="15" customHeight="1">
      <c r="B262" s="1"/>
      <c r="U262" s="1"/>
      <c r="V262" s="296"/>
    </row>
    <row r="263" spans="2:22" ht="15" customHeight="1">
      <c r="B263" s="1"/>
      <c r="U263" s="1"/>
      <c r="V263" s="296"/>
    </row>
    <row r="264" spans="2:22" ht="15" customHeight="1">
      <c r="B264" s="1"/>
      <c r="U264" s="1"/>
      <c r="V264" s="296"/>
    </row>
    <row r="265" spans="2:22" ht="15" customHeight="1">
      <c r="B265" s="1"/>
      <c r="U265" s="1"/>
      <c r="V265" s="296"/>
    </row>
    <row r="266" spans="2:22" ht="15" customHeight="1">
      <c r="B266" s="1"/>
      <c r="U266" s="1"/>
      <c r="V266" s="296"/>
    </row>
    <row r="267" spans="2:22" ht="15" customHeight="1">
      <c r="B267" s="1"/>
      <c r="U267" s="1"/>
      <c r="V267" s="296"/>
    </row>
    <row r="268" spans="2:22" ht="15" customHeight="1">
      <c r="B268" s="1"/>
      <c r="U268" s="1"/>
      <c r="V268" s="296"/>
    </row>
    <row r="269" spans="2:22" ht="15" customHeight="1">
      <c r="B269" s="1"/>
      <c r="L269" s="222" t="s">
        <v>47</v>
      </c>
      <c r="U269" s="1"/>
      <c r="V269" s="296"/>
    </row>
    <row r="270" spans="2:22" ht="15" customHeight="1">
      <c r="B270" s="1"/>
      <c r="U270" s="1"/>
    </row>
    <row r="271" spans="2:22" ht="15" customHeight="1">
      <c r="B271" s="1"/>
      <c r="U271" s="1"/>
    </row>
    <row r="272" spans="2:22" ht="15" customHeight="1">
      <c r="B272" s="1"/>
      <c r="U272" s="1"/>
    </row>
    <row r="273" spans="2:21" ht="15" customHeight="1">
      <c r="B273" s="1"/>
      <c r="U273" s="1"/>
    </row>
    <row r="274" spans="2:21" ht="15" customHeight="1">
      <c r="B274" s="1"/>
      <c r="U274" s="1"/>
    </row>
    <row r="275" spans="2:21">
      <c r="B275" s="1"/>
      <c r="U275" s="1"/>
    </row>
    <row r="276" spans="2:21">
      <c r="U276" s="1"/>
    </row>
    <row r="277" spans="2:21">
      <c r="B277" s="1"/>
      <c r="U277" s="1"/>
    </row>
    <row r="278" spans="2:21">
      <c r="B278" s="1"/>
      <c r="U278" s="1"/>
    </row>
    <row r="279" spans="2:21">
      <c r="B279" s="1"/>
      <c r="U279" s="1"/>
    </row>
    <row r="280" spans="2:21">
      <c r="B280" s="1"/>
      <c r="U280" s="1"/>
    </row>
    <row r="281" spans="2:21">
      <c r="B281" s="1"/>
      <c r="U281" s="1"/>
    </row>
    <row r="282" spans="2:21">
      <c r="B282" s="1"/>
      <c r="U282" s="1"/>
    </row>
    <row r="283" spans="2:21">
      <c r="B283" s="1"/>
      <c r="U283" s="1"/>
    </row>
    <row r="284" spans="2:21">
      <c r="B284" s="1"/>
      <c r="U284" s="1"/>
    </row>
    <row r="285" spans="2:21">
      <c r="B285" s="1"/>
      <c r="U285" s="1"/>
    </row>
    <row r="286" spans="2:21">
      <c r="U286" s="1"/>
    </row>
    <row r="287" spans="2:21">
      <c r="U287" s="1"/>
    </row>
    <row r="288" spans="2:21">
      <c r="U288" s="1"/>
    </row>
    <row r="289" spans="21:21">
      <c r="U289" s="1"/>
    </row>
    <row r="290" spans="21:21">
      <c r="U290" s="1"/>
    </row>
    <row r="291" spans="21:21">
      <c r="U291" s="1"/>
    </row>
    <row r="292" spans="21:21">
      <c r="U292" s="1"/>
    </row>
    <row r="293" spans="21:21">
      <c r="U293" s="1"/>
    </row>
    <row r="294" spans="21:21">
      <c r="U294" s="1"/>
    </row>
    <row r="295" spans="21:21">
      <c r="U295" s="1"/>
    </row>
    <row r="296" spans="21:21">
      <c r="U296" s="1"/>
    </row>
    <row r="297" spans="21:21">
      <c r="U297" s="1"/>
    </row>
    <row r="298" spans="21:21">
      <c r="U298" s="1"/>
    </row>
    <row r="299" spans="21:21">
      <c r="U299" s="1"/>
    </row>
    <row r="300" spans="21:21">
      <c r="U300" s="1"/>
    </row>
    <row r="301" spans="21:21">
      <c r="U301" s="1"/>
    </row>
    <row r="302" spans="21:21">
      <c r="U302" s="1"/>
    </row>
    <row r="303" spans="21:21">
      <c r="U303" s="1"/>
    </row>
    <row r="304" spans="21:21">
      <c r="U304" s="1"/>
    </row>
    <row r="305" spans="21:21">
      <c r="U305" s="1"/>
    </row>
    <row r="306" spans="21:21">
      <c r="U306" s="1"/>
    </row>
    <row r="307" spans="21:21">
      <c r="U307" s="1"/>
    </row>
    <row r="308" spans="21:21">
      <c r="U308" s="1"/>
    </row>
    <row r="309" spans="21:21">
      <c r="U309" s="1"/>
    </row>
    <row r="310" spans="21:21">
      <c r="U310" s="1"/>
    </row>
    <row r="311" spans="21:21">
      <c r="U311" s="1"/>
    </row>
    <row r="312" spans="21:21">
      <c r="U312" s="1"/>
    </row>
    <row r="313" spans="21:21">
      <c r="U313" s="1"/>
    </row>
    <row r="314" spans="21:21">
      <c r="U314" s="1"/>
    </row>
    <row r="315" spans="21:21">
      <c r="U315" s="1"/>
    </row>
    <row r="316" spans="21:21">
      <c r="U316" s="1"/>
    </row>
    <row r="317" spans="21:21">
      <c r="U317" s="1"/>
    </row>
    <row r="318" spans="21:21">
      <c r="U318" s="1"/>
    </row>
    <row r="319" spans="21:21">
      <c r="U319" s="1"/>
    </row>
    <row r="320" spans="21:21">
      <c r="U320" s="1"/>
    </row>
    <row r="321" spans="21:21">
      <c r="U321" s="1"/>
    </row>
    <row r="322" spans="21:21">
      <c r="U322" s="1"/>
    </row>
    <row r="323" spans="21:21">
      <c r="U323" s="1"/>
    </row>
    <row r="324" spans="21:21">
      <c r="U324" s="1"/>
    </row>
    <row r="325" spans="21:21">
      <c r="U325" s="1"/>
    </row>
    <row r="326" spans="21:21">
      <c r="U326" s="1"/>
    </row>
    <row r="327" spans="21:21">
      <c r="U327" s="1"/>
    </row>
    <row r="328" spans="21:21">
      <c r="U328" s="1"/>
    </row>
    <row r="329" spans="21:21">
      <c r="U329" s="1"/>
    </row>
    <row r="330" spans="21:21">
      <c r="U330" s="1"/>
    </row>
    <row r="331" spans="21:21">
      <c r="U331" s="1"/>
    </row>
    <row r="332" spans="21:21">
      <c r="U332" s="1"/>
    </row>
    <row r="333" spans="21:21">
      <c r="U333" s="1"/>
    </row>
    <row r="334" spans="21:21">
      <c r="U334" s="1"/>
    </row>
    <row r="335" spans="21:21">
      <c r="U335" s="1"/>
    </row>
    <row r="336" spans="21:21">
      <c r="U336" s="1"/>
    </row>
    <row r="337" spans="21:21">
      <c r="U337" s="1"/>
    </row>
    <row r="338" spans="21:21">
      <c r="U338" s="1"/>
    </row>
    <row r="339" spans="21:21">
      <c r="U339" s="1"/>
    </row>
    <row r="340" spans="21:21">
      <c r="U340" s="1"/>
    </row>
    <row r="341" spans="21:21">
      <c r="U341" s="1"/>
    </row>
    <row r="342" spans="21:21">
      <c r="U342" s="1"/>
    </row>
    <row r="343" spans="21:21">
      <c r="U343" s="1"/>
    </row>
    <row r="344" spans="21:21">
      <c r="U344" s="1"/>
    </row>
    <row r="345" spans="21:21">
      <c r="U345" s="1"/>
    </row>
    <row r="346" spans="21:21">
      <c r="U346" s="1"/>
    </row>
    <row r="347" spans="21:21">
      <c r="U347" s="1"/>
    </row>
    <row r="348" spans="21:21">
      <c r="U348" s="1"/>
    </row>
    <row r="349" spans="21:21">
      <c r="U349" s="1"/>
    </row>
    <row r="350" spans="21:21">
      <c r="U350" s="1"/>
    </row>
    <row r="351" spans="21:21">
      <c r="U351" s="1"/>
    </row>
    <row r="352" spans="21:21">
      <c r="U352" s="1"/>
    </row>
    <row r="353" spans="21:21">
      <c r="U353" s="1"/>
    </row>
    <row r="354" spans="21:21">
      <c r="U354" s="1"/>
    </row>
    <row r="355" spans="21:21">
      <c r="U355" s="1"/>
    </row>
    <row r="515" spans="20:20">
      <c r="T515" s="1" t="s">
        <v>47</v>
      </c>
    </row>
    <row r="607" spans="20:20">
      <c r="T607" s="1" t="s">
        <v>47</v>
      </c>
    </row>
  </sheetData>
  <sheetProtection algorithmName="SHA-512" hashValue="Ev/kw7nreir3rvvfGapgNpIls0ZU1hemnGRTony7fu+aheOtkw+IssiGpbY7CdZ6dq6Qp0g107qQpvnBbxeiwg==" saltValue="kivH7ZS7ELkOVXFRSk3csw==" spinCount="100000" sheet="1" objects="1" scenarios="1"/>
  <customSheetViews>
    <customSheetView guid="{8A435FCC-8BD6-DD45-9129-438811B87EB1}" scale="150" showPageBreaks="1" showGridLines="0" printArea="1" hiddenRows="1" hiddenColumns="1" view="pageLayout">
      <selection sqref="A1:H2"/>
      <pageMargins left="0.7" right="0.7" top="0.75" bottom="0.75" header="0.3" footer="0.3"/>
      <pageSetup paperSize="9" orientation="portrait"/>
      <headerFooter>
        <oddFooter>&amp;L&amp;8&amp;D&amp;C&amp;8blad &amp;P van &amp;N&amp;R&amp;G</oddFooter>
      </headerFooter>
    </customSheetView>
    <customSheetView guid="{56E0D05E-C3B0-4A86-B9AD-C3673A46D46E}" scale="125" showPageBreaks="1" showGridLines="0" hiddenRows="1" hiddenColumns="1">
      <selection activeCell="D20" sqref="D20"/>
      <rowBreaks count="347" manualBreakCount="347">
        <brk id="45" max="16383" man="1"/>
        <brk id="98" max="16383" man="1"/>
        <brk id="878" max="1" man="1"/>
        <brk id="64" max="3" man="1"/>
        <brk id="41" max="29" man="1"/>
        <brk man="1"/>
        <brk man="1"/>
        <brk max="65535" man="1"/>
        <brk min="1" max="16384" man="1"/>
        <brk id="4" max="1280" man="1"/>
        <brk id="34816" max="45572" man="1"/>
        <brk id="516" max="10" man="1"/>
        <brk id="24576" max="32512" man="1"/>
        <brk id="43128" max="257" man="1"/>
        <brk id="43128" max="513" man="1"/>
        <brk id="43879" max="769" man="1"/>
        <brk id="59741" max="1089" man="1"/>
        <brk id="256" max="1473" man="1"/>
        <brk id="4608" max="16129" man="1"/>
        <brk min="1536" max="48897" man="1"/>
        <brk min="4096" max="65281" man="1"/>
        <brk min="2048" max="16131" man="1"/>
        <brk id="4096" min="4096" max="32963" man="1"/>
        <brk id="1536" max="27648" man="1"/>
        <brk id="28416" min="26368" max="28416" man="1"/>
        <brk id="8192" min="16896" max="27904" man="1"/>
        <brk id="21248" max="20992" man="1"/>
        <brk id="17920" man="1"/>
        <brk id="32768" max="11520" man="1"/>
        <brk min="25888" max="26469" man="1"/>
        <brk id="13358" min="12846" max="13102" man="1"/>
        <brk id="12832" min="10293" max="10528" man="1"/>
        <brk id="12846" min="2570" max="2570" man="1"/>
        <brk id="2570" min="2570" max="2570" man="1"/>
        <brk id="2570" min="2671" max="30052" man="1"/>
        <brk id="2841" min="512" max="5444" man="1"/>
        <brk id="16899" min="102" max="6408" man="1"/>
        <brk id="2083" max="8" man="1"/>
        <brk id="768" min="281" max="2048" man="1"/>
        <brk id="768" min="281" max="2048" man="1"/>
        <brk man="1"/>
        <brk id="47532" min="3682" max="20480" man="1"/>
        <brk man="1"/>
        <brk man="1"/>
        <brk man="1"/>
        <brk id="256" man="1"/>
        <brk man="1"/>
        <brk man="1"/>
        <brk max="256" man="1"/>
        <brk man="1"/>
        <brk man="1"/>
        <brk id="256" man="1"/>
        <brk id="256" man="1"/>
        <brk man="1"/>
        <brk man="1"/>
        <brk man="1"/>
        <brk max="256" man="1"/>
        <brk man="1"/>
        <brk id="1024" max="1024" man="1"/>
        <brk man="1"/>
        <brk man="1"/>
        <brk max="1792" man="1"/>
        <brk man="1"/>
        <brk man="1"/>
        <brk id="512" min="65280" max="65280"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x="256" man="1"/>
        <brk man="1"/>
        <brk man="1"/>
        <brk min="4096" max="20488" man="1"/>
        <brk id="29952" min="17152" max="28416" man="1"/>
        <brk id="27648" min="28416" max="29184" man="1"/>
        <brk id="8192" min="12800" max="13312" man="1"/>
        <brk id="12800" min="11520" max="12800" man="1"/>
        <brk id="8192" min="20480" max="21248" man="1"/>
        <brk min="21093" max="29551" man="1"/>
        <brk id="54" min="12336" max="25712" man="1"/>
        <brk id="26880" min="17734" max="19789" man="1"/>
        <brk id="18798" min="21875" max="25856" man="1"/>
        <brk id="17997" min="19779" max="28534" man="1"/>
        <brk id="25970" min="80" max="29289" man="1"/>
        <brk id="28276" min="18034" max="28526" man="1"/>
        <brk id="29696" min="17734" max="19789" man="1"/>
        <brk id="21601" min="25171" max="26729" man="1"/>
        <brk id="26228" min="70" max="24940" man="1"/>
        <brk id="29541" min="69" max="17987" man="1"/>
        <brk id="25701" min="71" max="29281" man="1"/>
        <brk id="31091" min="25441" max="27749" man="1"/>
        <brk id="69" min="18002" max="18242" man="1"/>
        <brk id="20342" min="25970" max="29289" man="1"/>
        <brk id="25701" min="69" max="18002" man="1"/>
        <brk id="18242" min="20342" max="25970" man="1"/>
        <brk id="17920" min="17734" max="21063" man="1"/>
        <brk id="18002" min="18242" max="20340" man="1"/>
        <brk id="26725" min="29271" max="29776" man="1"/>
        <brk id="18002" min="18242" max="20340" man="1"/>
        <brk id="28001" min="69" max="18002" man="1"/>
        <brk id="18242" min="20340" max="26725" man="1"/>
        <brk id="29255" min="24941" max="28001" man="1"/>
        <brk id="21063" min="16975" max="29800" man="1"/>
        <brk id="25970" min="20584" max="28531" man="1"/>
        <brk id="69" min="18002" max="18242" man="1"/>
        <brk id="20340" min="26725" max="29264" man="1"/>
        <brk id="69" min="17987" max="28524" man="1"/>
        <brk id="28530" min="21093" max="28260" man="1"/>
        <brk id="17987" min="28524" max="28530" man="1"/>
        <brk id="25460" min="17477" max="17920" man="1"/>
        <brk id="25968" min="69" max="18002" man="1"/>
        <brk id="18242" min="21349" max="28740" man="1"/>
        <brk id="17734" min="69" max="18003" man="1"/>
        <brk id="17920" min="17734" max="21353" man="1"/>
        <brk id="69" min="18003" max="26989" man="1"/>
        <brk id="17734" min="69" max="17999" man="1"/>
        <brk id="30068" min="20594" max="28518" man="1"/>
        <brk id="17920" min="17734" max="21360" man="1"/>
        <brk id="28532" min="17263" max="27759" man="1"/>
        <brk id="29299" min="69" max="18003" man="1"/>
        <brk id="69" min="18000" max="30066" man="1"/>
        <brk id="69" min="18000" max="30066" man="1"/>
        <brk id="17004" min="27471" max="30320" man="1"/>
        <brk id="17734" min="69" max="17987" man="1"/>
        <brk id="28525" min="28751" max="30309" man="1"/>
        <brk id="70" min="24940" max="29541" man="1"/>
        <brk id="69" min="17995" max="20334" man="1"/>
        <brk id="27769" min="18290" max="24953" man="1"/>
        <brk id="17995" min="20334" max="27769" man="1"/>
        <brk id="22859" min="17477" max="17920" man="1"/>
        <brk id="17734" min="19279" max="28268" man="1"/>
        <brk id="31047" min="29281" max="31058" man="1"/>
        <brk id="18242" min="69" max="17995" man="1"/>
        <brk id="17734" min="69" max="18003" man="1"/>
        <brk id="24948" min="26991" max="28275" man="1"/>
        <brk id="70" min="24940" max="29541" man="1"/>
        <brk id="69" min="18004" max="29281" man="1"/>
        <brk id="17734" min="21359" max="29300" man="1"/>
        <brk id="29797" min="69" max="18003" man="1"/>
        <brk id="70" min="24940" max="29541" man="1"/>
        <brk id="69" min="17999" max="30068" man="1"/>
        <brk id="25964" min="25955" max="29696" man="1"/>
        <brk id="17734" min="18797" max="24935" man="1"/>
        <brk id="70" min="24940" max="29541" man="1"/>
        <brk id="69" min="17993" max="28001" man="1"/>
        <brk id="26469" min="21870" max="26996" man="1"/>
        <brk id="29440" min="17734" max="18031" man="1"/>
        <brk id="27748" min="70" max="24940" man="1"/>
        <brk id="29541" min="69" max="17993" man="1"/>
        <brk id="24935" min="70" max="24940" man="1"/>
        <brk id="29541" min="69" max="17999" man="1"/>
        <brk id="26214" min="29541" max="29770" man="1"/>
        <brk id="17920" min="17734" max="20597" man="1"/>
        <brk id="25856" min="20079" max="28261" man="1"/>
        <brk id="69" min="18000" max="30062" man="1"/>
        <brk id="25448" min="18543" max="27749" man="1"/>
        <brk id="30574" min="69" max="17990" man="1"/>
        <brk id="24931" min="25924" max="28535" man="1"/>
        <brk id="21357" min="28527" max="29800" man="1"/>
        <brk id="70" min="24940" max="29541" man="1"/>
        <brk id="69" min="17986" max="29289" man="1"/>
        <brk id="29440" min="11568" max="11825" man="1"/>
        <brk id="13824" min="17734" max="18797" man="1"/>
        <brk id="24935" min="25925" max="28264" man="1"/>
        <brk id="17774" min="26721" max="28259" man="1"/>
        <brk id="17987" min="28525" max="28786" man="1"/>
        <brk id="66" min="25971" max="29777" man="1"/>
        <brk id="30049" min="27753" max="29817" man="1"/>
        <brk id="69" min="17987" max="28528" man="1"/>
        <brk id="25701" min="17477" max="17920" man="1"/>
        <brk id="17734" min="18284" max="28531" man="1"/>
        <brk id="29505" min="25706" max="30067" man="1"/>
        <brk id="29696" min="18017" max="27763" man="1"/>
        <brk id="25856" min="17734" max="21605" man="1"/>
        <brk id="30836" min="18278" max="30801" man="1"/>
        <brk id="29556" min="69" max="18002" man="1"/>
        <brk id="17734" min="17525" max="28780" man="1"/>
        <brk id="25976" min="70" max="24940" man="1"/>
        <brk id="29541" min="69" max="18005" man="1"/>
        <brk id="70" min="24940" max="29541" man="1"/>
        <brk id="69" min="18002" max="18768" man="1"/>
        <brk id="29696" min="18017" max="27763" man="1"/>
        <brk id="28523" min="17263" max="30309" man="1"/>
        <brk id="29268" min="29281" max="30976" man="1"/>
        <brk id="17734" min="17007" max="28523" man="1"/>
        <brk id="69" min="17986" max="28527" man="1"/>
        <brk id="25970" min="78" max="28526" man="1"/>
        <brk id="28523" min="17003" max="17263" man="1"/>
        <brk id="28261" min="69" max="17987" man="1"/>
        <brk id="28528" min="26981" max="29250" man="1"/>
        <brk id="70" min="24940" max="29541" man="1"/>
        <brk id="69" min="17987" max="25966" man="1"/>
        <brk id="28523" min="27749" max="29763" man="1"/>
        <brk id="25972" min="21093" max="25717" man="1"/>
        <brk id="25445" min="84" max="29301" man="1"/>
        <brk id="25856" min="17734" max="19809" man="1"/>
        <brk id="17997" min="25956" max="26977" man="1"/>
        <brk id="28281" min="73" max="28272" man="1"/>
        <brk id="30068" min="21356" max="28532" man="1"/>
        <brk id="25964" min="25955" max="29696" man="1"/>
        <brk id="17734" min="21618" max="24953" man="1"/>
        <brk id="16748" min="26983" max="28269" man="1"/>
        <brk id="21356" min="26992" max="29544" man="1"/>
        <brk id="21356" min="26992" max="29544" man="1"/>
        <brk id="25856" min="19557" max="29812" man="1"/>
        <brk id="25970" min="69" max="18003" man="1"/>
        <brk id="25972" min="21618" max="24953" man="1"/>
        <brk id="84" min="29281" max="31029" man="1"/>
        <brk id="69" min="17997" max="25956" man="1"/>
        <brk id="26977" min="18798" max="29797" man="1"/>
        <brk id="30292" min="29281" max="30976" man="1"/>
        <brk id="17734" min="19813" max="25681" man="1"/>
        <brk id="30049" min="27715" max="28513" man="1"/>
        <brk id="29796" min="12544" max="17734" man="1"/>
        <brk id="19813" min="25681" max="30049" man="1"/>
        <brk id="27715" min="28513" max="29796" man="1"/>
        <brk id="24940" min="17269" max="29556" man="1"/>
        <brk id="12544" min="17734" max="19813" man="1"/>
        <brk id="25705" min="24913" max="30049" man="1"/>
        <brk id="17734" min="69" max="17997" man="1"/>
        <brk id="25956" min="20853" max="24940" man="1"/>
        <brk id="17734" min="19813" max="25681" man="1"/>
        <brk id="30049" min="27715" max="30067" man="1"/>
        <brk id="29746" min="17477" max="17920" man="1"/>
        <brk id="17734" min="19813" max="25681" man="1"/>
        <brk id="30049" min="27715" max="30067" man="1"/>
        <brk id="29747" min="69" max="17997" man="1"/>
        <brk id="25956" min="20853" max="24940" man="1"/>
        <brk id="17734" min="69" max="17997" man="1"/>
        <brk id="25956" min="20853" max="24940" man="1"/>
        <brk id="17734" min="19813" max="25681" man="1"/>
        <brk id="30049" min="27715" max="30067" man="1"/>
        <brk id="29748" min="17477" max="17920" man="1"/>
        <brk id="17734" min="19813" max="25681" man="1"/>
        <brk id="30049" min="27715" max="30067" man="1"/>
        <brk id="29749" min="69" max="17997" man="1"/>
        <brk id="25956" min="20853" max="24940" man="1"/>
        <brk id="17734" min="69" max="17997" man="1"/>
        <brk id="25956" min="20853" max="24940" man="1"/>
        <brk id="18533" min="24950" max="31025" man="1"/>
        <brk id="69" min="17997" max="25956" man="1"/>
        <brk id="17920" min="17734" max="19813" man="1"/>
        <brk id="17734" min="19813" max="25681" man="1"/>
        <brk id="30329" min="12868" max="17734" man="1"/>
        <brk id="69" min="17997" max="25956" man="1"/>
        <brk id="19813" min="25681" max="30049" man="1"/>
        <brk id="19813" min="25681" max="30049" man="1"/>
        <brk id="25600" min="17734" max="19813" man="1"/>
        <brk id="25465" min="25452" max="25668" man="1"/>
        <brk id="17734" min="69" max="18000" man="1"/>
        <brk id="31333" min="69" max="18000" man="1"/>
        <brk id="31333" min="17477" max="17920" man="1"/>
        <brk id="17734" min="17266" max="25953" man="1"/>
        <brk id="29797" min="19809" max="29556" man="1"/>
        <brk id="25970" min="78" max="28526" man="1"/>
        <brk id="25856" min="17734" max="21875" man="1"/>
        <brk id="25933" min="24947" max="29797" man="1"/>
        <brk id="29184" min="20079" max="28261" man="1"/>
        <brk id="69" min="18000" max="20564" man="1"/>
        <brk id="17734" min="20594" max="26990" man="1"/>
        <brk id="29773" min="24947" max="29797" man="1"/>
        <brk id="29184" min="17734" max="20594" man="1"/>
        <brk id="80" min="24935" max="25939" man="1"/>
        <brk id="80" min="24935" max="25938" man="1"/>
        <brk id="25959" min="26991" max="28160" man="1"/>
        <brk id="28263" min="17764" max="26469"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</rowBreaks>
      <pageMargins left="0.7" right="0.7" top="0.75" bottom="0.75" header="0.3" footer="0.3"/>
      <pageSetup paperSize="9" orientation="portrait"/>
      <headerFooter>
        <oddFooter>&amp;L&amp;8&amp;D&amp;C&amp;8blad &amp;P van &amp;N&amp;R&amp;G</oddFooter>
      </headerFooter>
    </customSheetView>
    <customSheetView guid="{F8C9D615-8E46-F541-BBB3-6F54684CB42D}" scale="150" showPageBreaks="1" showGridLines="0" printArea="1">
      <selection sqref="A1:H2"/>
      <pageMargins left="0.7" right="0.7" top="0.75" bottom="0.75" header="0.3" footer="0.3"/>
      <pageSetup paperSize="9" orientation="portrait"/>
      <headerFooter>
        <oddFooter>&amp;L&amp;8&amp;D&amp;C&amp;8blad &amp;P van &amp;N&amp;R&amp;G</oddFooter>
      </headerFooter>
    </customSheetView>
  </customSheetViews>
  <mergeCells count="13">
    <mergeCell ref="A1:H2"/>
    <mergeCell ref="A16:J18"/>
    <mergeCell ref="H32:I32"/>
    <mergeCell ref="H51:I51"/>
    <mergeCell ref="C170:I170"/>
    <mergeCell ref="A14:J14"/>
    <mergeCell ref="C86:F86"/>
    <mergeCell ref="D85:F85"/>
    <mergeCell ref="E92:F92"/>
    <mergeCell ref="A101:J102"/>
    <mergeCell ref="E93:F93"/>
    <mergeCell ref="C115:J115"/>
    <mergeCell ref="A8:J9"/>
  </mergeCells>
  <phoneticPr fontId="0" type="noConversion"/>
  <dataValidations disablePrompts="1" count="5">
    <dataValidation type="list" allowBlank="1" showInputMessage="1" showErrorMessage="1" sqref="G76 G71" xr:uid="{00000000-0002-0000-0000-000000000000}">
      <formula1>$N$1:$N$3</formula1>
    </dataValidation>
    <dataValidation type="list" allowBlank="1" showInputMessage="1" showErrorMessage="1" sqref="H32 H51" xr:uid="{00000000-0002-0000-0000-000001000000}">
      <formula1>$P$1:$P$2</formula1>
    </dataValidation>
    <dataValidation type="list" allowBlank="1" showInputMessage="1" showErrorMessage="1" sqref="D85" xr:uid="{00000000-0002-0000-0000-000002000000}">
      <formula1>$O$1:$O$5</formula1>
    </dataValidation>
    <dataValidation type="list" allowBlank="1" showInputMessage="1" showErrorMessage="1" sqref="F82" xr:uid="{00000000-0002-0000-0000-000003000000}">
      <formula1>$L$1:$L$5</formula1>
    </dataValidation>
    <dataValidation type="list" allowBlank="1" showInputMessage="1" showErrorMessage="1" sqref="C86:F86" xr:uid="{00000000-0002-0000-0000-000004000000}">
      <formula1>IF($D$85="walsprofiel",$Q$1:$Q$161,IF($D$85="vierkante buis, koud",$R$1:$R$96,IF($D$85="vierkante buis, warm",$S$1:$S$91,IF($D$85="ronde buis, koud",$T$1:$T$190,$U$1:$U$190))))</formula1>
    </dataValidation>
  </dataValidations>
  <pageMargins left="0.98" right="0.98" top="0.98" bottom="1.18" header="0.49" footer="0.59"/>
  <pageSetup paperSize="9" orientation="portrait"/>
  <headerFooter>
    <oddFooter>&amp;L&amp;8&amp;D&amp;C&amp;8blad &amp;P van &amp;N&amp;R&amp;G</oddFooter>
  </headerFooter>
  <rowBreaks count="5" manualBreakCount="5">
    <brk id="42" max="16383" man="1"/>
    <brk id="79" max="16383" man="1"/>
    <brk id="110" max="16383" man="1"/>
    <brk id="169" max="16383" man="1"/>
    <brk id="227" max="16383" man="1"/>
  </rowBreaks>
  <drawing r:id="rId1"/>
  <legacyDrawing r:id="rId2"/>
  <legacyDrawingHF r:id="rId3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E15"/>
  <sheetViews>
    <sheetView showGridLines="0" zoomScale="150" zoomScaleNormal="150" workbookViewId="0">
      <selection sqref="A1:H2"/>
    </sheetView>
  </sheetViews>
  <sheetFormatPr baseColWidth="10" defaultColWidth="11.33203125" defaultRowHeight="13"/>
  <cols>
    <col min="1" max="1" width="11.33203125" style="34"/>
    <col min="2" max="2" width="11.33203125" style="43"/>
    <col min="3" max="16384" width="11.33203125" style="34"/>
  </cols>
  <sheetData>
    <row r="1" spans="1:5">
      <c r="A1" s="400" t="s">
        <v>34</v>
      </c>
      <c r="B1" s="402" t="s">
        <v>35</v>
      </c>
      <c r="C1" s="404" t="s">
        <v>33</v>
      </c>
      <c r="D1" s="406" t="s">
        <v>137</v>
      </c>
      <c r="E1" s="398" t="s">
        <v>139</v>
      </c>
    </row>
    <row r="2" spans="1:5">
      <c r="A2" s="401"/>
      <c r="B2" s="403"/>
      <c r="C2" s="405" t="s">
        <v>132</v>
      </c>
      <c r="D2" s="405" t="s">
        <v>133</v>
      </c>
      <c r="E2" s="399" t="s">
        <v>134</v>
      </c>
    </row>
    <row r="3" spans="1:5">
      <c r="A3" s="35">
        <v>0</v>
      </c>
      <c r="B3" s="36">
        <v>1</v>
      </c>
      <c r="C3" s="37">
        <v>1</v>
      </c>
      <c r="D3" s="37">
        <v>1</v>
      </c>
      <c r="E3" s="38">
        <f>SQRT(B3/D3)</f>
        <v>1</v>
      </c>
    </row>
    <row r="4" spans="1:5">
      <c r="A4" s="35">
        <v>100</v>
      </c>
      <c r="B4" s="36">
        <v>1</v>
      </c>
      <c r="C4" s="37">
        <v>1</v>
      </c>
      <c r="D4" s="37">
        <v>1</v>
      </c>
      <c r="E4" s="38">
        <f t="shared" ref="E4:E14" si="0">SQRT(B4/D4)</f>
        <v>1</v>
      </c>
    </row>
    <row r="5" spans="1:5">
      <c r="A5" s="35">
        <v>200</v>
      </c>
      <c r="B5" s="36">
        <v>1</v>
      </c>
      <c r="C5" s="37">
        <v>0.80700000000000005</v>
      </c>
      <c r="D5" s="37">
        <v>0.9</v>
      </c>
      <c r="E5" s="38">
        <f t="shared" si="0"/>
        <v>1.0540925533894598</v>
      </c>
    </row>
    <row r="6" spans="1:5">
      <c r="A6" s="35">
        <v>300</v>
      </c>
      <c r="B6" s="36">
        <v>1</v>
      </c>
      <c r="C6" s="37">
        <v>0.61299999999999999</v>
      </c>
      <c r="D6" s="37">
        <v>0.8</v>
      </c>
      <c r="E6" s="38">
        <f t="shared" si="0"/>
        <v>1.1180339887498949</v>
      </c>
    </row>
    <row r="7" spans="1:5">
      <c r="A7" s="35">
        <v>400</v>
      </c>
      <c r="B7" s="36">
        <v>1</v>
      </c>
      <c r="C7" s="37">
        <v>0.42</v>
      </c>
      <c r="D7" s="37">
        <v>0.7</v>
      </c>
      <c r="E7" s="38">
        <f t="shared" si="0"/>
        <v>1.1952286093343936</v>
      </c>
    </row>
    <row r="8" spans="1:5">
      <c r="A8" s="35">
        <v>500</v>
      </c>
      <c r="B8" s="36">
        <v>0.78</v>
      </c>
      <c r="C8" s="37">
        <v>0.36</v>
      </c>
      <c r="D8" s="37">
        <v>0.6</v>
      </c>
      <c r="E8" s="38">
        <f t="shared" si="0"/>
        <v>1.1401754250991381</v>
      </c>
    </row>
    <row r="9" spans="1:5">
      <c r="A9" s="35">
        <v>600</v>
      </c>
      <c r="B9" s="36">
        <v>0.47</v>
      </c>
      <c r="C9" s="37">
        <v>0.18</v>
      </c>
      <c r="D9" s="37">
        <v>0.31</v>
      </c>
      <c r="E9" s="38">
        <f t="shared" si="0"/>
        <v>1.2313119150962784</v>
      </c>
    </row>
    <row r="10" spans="1:5">
      <c r="A10" s="35">
        <v>700</v>
      </c>
      <c r="B10" s="36">
        <v>0.23</v>
      </c>
      <c r="C10" s="37">
        <v>7.4999999999999997E-2</v>
      </c>
      <c r="D10" s="37">
        <v>0.13</v>
      </c>
      <c r="E10" s="38">
        <f t="shared" si="0"/>
        <v>1.3301243435223524</v>
      </c>
    </row>
    <row r="11" spans="1:5">
      <c r="A11" s="35">
        <v>800</v>
      </c>
      <c r="B11" s="36">
        <v>0.11</v>
      </c>
      <c r="C11" s="37">
        <v>0.05</v>
      </c>
      <c r="D11" s="37">
        <v>0.09</v>
      </c>
      <c r="E11" s="38">
        <f t="shared" si="0"/>
        <v>1.1055415967851334</v>
      </c>
    </row>
    <row r="12" spans="1:5">
      <c r="A12" s="35">
        <v>900</v>
      </c>
      <c r="B12" s="36">
        <v>0.06</v>
      </c>
      <c r="C12" s="37">
        <v>3.7499999999999999E-2</v>
      </c>
      <c r="D12" s="37">
        <v>6.7500000000000004E-2</v>
      </c>
      <c r="E12" s="38">
        <f t="shared" si="0"/>
        <v>0.94280904158206336</v>
      </c>
    </row>
    <row r="13" spans="1:5">
      <c r="A13" s="35">
        <v>1000</v>
      </c>
      <c r="B13" s="36">
        <v>0.04</v>
      </c>
      <c r="C13" s="37">
        <v>2.5000000000000001E-2</v>
      </c>
      <c r="D13" s="37">
        <v>4.4999999999999998E-2</v>
      </c>
      <c r="E13" s="38">
        <f t="shared" si="0"/>
        <v>0.94280904158206336</v>
      </c>
    </row>
    <row r="14" spans="1:5">
      <c r="A14" s="35">
        <v>1100</v>
      </c>
      <c r="B14" s="36">
        <v>0.02</v>
      </c>
      <c r="C14" s="37">
        <v>1.2500000000000001E-2</v>
      </c>
      <c r="D14" s="37">
        <v>2.2499999999999999E-2</v>
      </c>
      <c r="E14" s="38">
        <f t="shared" si="0"/>
        <v>0.94280904158206336</v>
      </c>
    </row>
    <row r="15" spans="1:5" ht="14" thickBot="1">
      <c r="A15" s="39">
        <v>1200</v>
      </c>
      <c r="B15" s="40">
        <v>0</v>
      </c>
      <c r="C15" s="41">
        <v>0</v>
      </c>
      <c r="D15" s="41">
        <v>0</v>
      </c>
      <c r="E15" s="42" t="s">
        <v>76</v>
      </c>
    </row>
  </sheetData>
  <sheetProtection selectLockedCells="1" selectUnlockedCells="1"/>
  <customSheetViews>
    <customSheetView guid="{8A435FCC-8BD6-DD45-9129-438811B87EB1}" scale="125" showGridLines="0">
      <selection sqref="A1:A2"/>
      <pageMargins left="0.7" right="0.7" top="0.75" bottom="0.75" header="0.3" footer="0.3"/>
      <pageSetup paperSize="9" orientation="portrait" horizontalDpi="4294967292" verticalDpi="4294967292"/>
    </customSheetView>
    <customSheetView guid="{56E0D05E-C3B0-4A86-B9AD-C3673A46D46E}" scale="125" showGridLines="0">
      <selection sqref="A1:A2"/>
      <pageMargins left="0.7" right="0.7" top="0.75" bottom="0.75" header="0.3" footer="0.3"/>
      <pageSetup paperSize="9" orientation="portrait" horizontalDpi="4294967292" verticalDpi="4294967292"/>
    </customSheetView>
    <customSheetView guid="{F8C9D615-8E46-F541-BBB3-6F54684CB42D}" scale="125" showGridLines="0">
      <selection sqref="A1:A2"/>
      <pageMargins left="0.7" right="0.7" top="0.75" bottom="0.75" header="0.3" footer="0.3"/>
      <pageSetup paperSize="9" orientation="portrait" horizontalDpi="4294967292" verticalDpi="4294967292"/>
    </customSheetView>
  </customSheetViews>
  <mergeCells count="5">
    <mergeCell ref="E1:E2"/>
    <mergeCell ref="A1:A2"/>
    <mergeCell ref="B1:B2"/>
    <mergeCell ref="C1:C2"/>
    <mergeCell ref="D1:D2"/>
  </mergeCells>
  <phoneticPr fontId="0" type="noConversion"/>
  <pageMargins left="0.98425196850393704" right="0.98425196850393704" top="0.98425196850393704" bottom="1.1811023622047245" header="0.49212598425196852" footer="0.59055118110236227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B736"/>
  <sheetViews>
    <sheetView showGridLines="0" workbookViewId="0">
      <pane ySplit="3" topLeftCell="A245" activePane="bottomLeft" state="frozen"/>
      <selection sqref="A1:H2"/>
      <selection pane="bottomLeft" sqref="A1:H2"/>
    </sheetView>
  </sheetViews>
  <sheetFormatPr baseColWidth="10" defaultColWidth="8.83203125" defaultRowHeight="13"/>
  <cols>
    <col min="1" max="1" width="26.1640625" style="44" bestFit="1" customWidth="1"/>
    <col min="2" max="2" width="10.83203125" style="74" customWidth="1"/>
    <col min="3" max="3" width="9.5" style="44" customWidth="1"/>
    <col min="4" max="4" width="5.1640625" style="44" customWidth="1"/>
    <col min="5" max="5" width="5.33203125" style="51" customWidth="1"/>
    <col min="6" max="7" width="5.1640625" style="44" customWidth="1"/>
    <col min="8" max="21" width="10.6640625" style="74" customWidth="1"/>
    <col min="22" max="36" width="5.1640625" style="91" customWidth="1"/>
    <col min="37" max="40" width="5.1640625" style="44" customWidth="1"/>
    <col min="41" max="41" width="5.5" style="91" customWidth="1"/>
    <col min="42" max="42" width="5.33203125" style="91" customWidth="1"/>
    <col min="43" max="45" width="5.6640625" style="96" customWidth="1"/>
    <col min="46" max="46" width="9.33203125" style="50" customWidth="1"/>
    <col min="47" max="49" width="9.33203125" style="45" customWidth="1"/>
    <col min="50" max="50" width="6.6640625" style="46" customWidth="1"/>
    <col min="51" max="51" width="11" style="45" customWidth="1"/>
    <col min="52" max="52" width="9" style="122" customWidth="1"/>
    <col min="53" max="53" width="26.1640625" style="44" bestFit="1" customWidth="1"/>
    <col min="54" max="54" width="8.83203125" style="44" customWidth="1"/>
    <col min="55" max="16384" width="8.83203125" style="44"/>
  </cols>
  <sheetData>
    <row r="1" spans="1:54" s="59" customFormat="1" ht="23" customHeight="1">
      <c r="A1" s="53" t="s">
        <v>154</v>
      </c>
      <c r="B1" s="54" t="s">
        <v>158</v>
      </c>
      <c r="C1" s="411" t="s">
        <v>155</v>
      </c>
      <c r="D1" s="411"/>
      <c r="E1" s="411"/>
      <c r="F1" s="411"/>
      <c r="G1" s="411"/>
      <c r="H1" s="412" t="s">
        <v>162</v>
      </c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3"/>
      <c r="V1" s="407" t="s">
        <v>78</v>
      </c>
      <c r="W1" s="408"/>
      <c r="X1" s="408"/>
      <c r="Y1" s="408"/>
      <c r="Z1" s="410"/>
      <c r="AA1" s="410"/>
      <c r="AB1" s="410"/>
      <c r="AC1" s="410"/>
      <c r="AD1" s="410"/>
      <c r="AE1" s="409"/>
      <c r="AF1" s="407" t="s">
        <v>87</v>
      </c>
      <c r="AG1" s="408"/>
      <c r="AH1" s="408"/>
      <c r="AI1" s="408"/>
      <c r="AJ1" s="410"/>
      <c r="AK1" s="55" t="s">
        <v>88</v>
      </c>
      <c r="AL1" s="56"/>
      <c r="AM1" s="56"/>
      <c r="AN1" s="57"/>
      <c r="AO1" s="408" t="s">
        <v>156</v>
      </c>
      <c r="AP1" s="408"/>
      <c r="AQ1" s="408"/>
      <c r="AR1" s="408"/>
      <c r="AS1" s="408"/>
      <c r="AT1" s="410"/>
      <c r="AU1" s="407" t="s">
        <v>96</v>
      </c>
      <c r="AV1" s="408"/>
      <c r="AW1" s="408"/>
      <c r="AX1" s="408"/>
      <c r="AY1" s="408"/>
      <c r="AZ1" s="409"/>
      <c r="BA1" s="58" t="s">
        <v>157</v>
      </c>
    </row>
    <row r="2" spans="1:54" ht="16">
      <c r="A2" s="60" t="s">
        <v>47</v>
      </c>
      <c r="B2" s="7" t="s">
        <v>163</v>
      </c>
      <c r="C2" s="8" t="s">
        <v>89</v>
      </c>
      <c r="D2" s="8" t="s">
        <v>51</v>
      </c>
      <c r="E2" s="8" t="s">
        <v>28</v>
      </c>
      <c r="F2" s="8" t="s">
        <v>164</v>
      </c>
      <c r="G2" s="8" t="s">
        <v>52</v>
      </c>
      <c r="H2" s="9" t="s">
        <v>182</v>
      </c>
      <c r="I2" s="10" t="s">
        <v>193</v>
      </c>
      <c r="J2" s="10" t="s">
        <v>183</v>
      </c>
      <c r="K2" s="10" t="s">
        <v>126</v>
      </c>
      <c r="L2" s="11" t="s">
        <v>128</v>
      </c>
      <c r="M2" s="10" t="s">
        <v>166</v>
      </c>
      <c r="N2" s="10" t="s">
        <v>168</v>
      </c>
      <c r="O2" s="12" t="s">
        <v>169</v>
      </c>
      <c r="P2" s="10" t="s">
        <v>22</v>
      </c>
      <c r="Q2" s="10" t="s">
        <v>23</v>
      </c>
      <c r="R2" s="10" t="s">
        <v>24</v>
      </c>
      <c r="S2" s="10" t="s">
        <v>25</v>
      </c>
      <c r="T2" s="11" t="s">
        <v>27</v>
      </c>
      <c r="U2" s="13" t="s">
        <v>26</v>
      </c>
      <c r="V2" s="418" t="s">
        <v>77</v>
      </c>
      <c r="W2" s="419"/>
      <c r="X2" s="419"/>
      <c r="Y2" s="419"/>
      <c r="Z2" s="420"/>
      <c r="AA2" s="421" t="s">
        <v>90</v>
      </c>
      <c r="AB2" s="419"/>
      <c r="AC2" s="419"/>
      <c r="AD2" s="419"/>
      <c r="AE2" s="422"/>
      <c r="AF2" s="418" t="s">
        <v>77</v>
      </c>
      <c r="AG2" s="419"/>
      <c r="AH2" s="419"/>
      <c r="AI2" s="419"/>
      <c r="AJ2" s="420"/>
      <c r="AK2" s="414" t="s">
        <v>91</v>
      </c>
      <c r="AL2" s="415"/>
      <c r="AM2" s="416" t="s">
        <v>92</v>
      </c>
      <c r="AN2" s="417"/>
      <c r="AO2" s="4" t="s">
        <v>50</v>
      </c>
      <c r="AP2" s="5" t="s">
        <v>46</v>
      </c>
      <c r="AQ2" s="2" t="s">
        <v>194</v>
      </c>
      <c r="AR2" s="2" t="s">
        <v>48</v>
      </c>
      <c r="AS2" s="2" t="s">
        <v>49</v>
      </c>
      <c r="AT2" s="6" t="s">
        <v>125</v>
      </c>
      <c r="AU2" s="187" t="s">
        <v>81</v>
      </c>
      <c r="AV2" s="6" t="s">
        <v>83</v>
      </c>
      <c r="AW2" s="6" t="s">
        <v>901</v>
      </c>
      <c r="AX2" s="47" t="s">
        <v>86</v>
      </c>
      <c r="AY2" s="6" t="s">
        <v>900</v>
      </c>
      <c r="AZ2" s="188" t="s">
        <v>84</v>
      </c>
      <c r="BA2" s="3"/>
    </row>
    <row r="3" spans="1:54">
      <c r="A3" s="14"/>
      <c r="B3" s="15" t="s">
        <v>159</v>
      </c>
      <c r="C3" s="16" t="s">
        <v>160</v>
      </c>
      <c r="D3" s="16" t="s">
        <v>160</v>
      </c>
      <c r="E3" s="16" t="s">
        <v>160</v>
      </c>
      <c r="F3" s="16" t="s">
        <v>160</v>
      </c>
      <c r="G3" s="16" t="s">
        <v>160</v>
      </c>
      <c r="H3" s="17" t="s">
        <v>161</v>
      </c>
      <c r="I3" s="18" t="s">
        <v>161</v>
      </c>
      <c r="J3" s="18" t="s">
        <v>127</v>
      </c>
      <c r="K3" s="18" t="s">
        <v>93</v>
      </c>
      <c r="L3" s="19" t="s">
        <v>165</v>
      </c>
      <c r="M3" s="18" t="s">
        <v>167</v>
      </c>
      <c r="N3" s="18" t="s">
        <v>167</v>
      </c>
      <c r="O3" s="20" t="s">
        <v>160</v>
      </c>
      <c r="P3" s="18" t="s">
        <v>165</v>
      </c>
      <c r="Q3" s="18" t="s">
        <v>167</v>
      </c>
      <c r="R3" s="18" t="s">
        <v>167</v>
      </c>
      <c r="S3" s="18" t="s">
        <v>160</v>
      </c>
      <c r="T3" s="19" t="s">
        <v>165</v>
      </c>
      <c r="U3" s="18" t="s">
        <v>82</v>
      </c>
      <c r="V3" s="28" t="s">
        <v>29</v>
      </c>
      <c r="W3" s="29" t="s">
        <v>30</v>
      </c>
      <c r="X3" s="29" t="s">
        <v>31</v>
      </c>
      <c r="Y3" s="29" t="s">
        <v>32</v>
      </c>
      <c r="Z3" s="29" t="s">
        <v>45</v>
      </c>
      <c r="AA3" s="30" t="s">
        <v>29</v>
      </c>
      <c r="AB3" s="29" t="s">
        <v>30</v>
      </c>
      <c r="AC3" s="29" t="s">
        <v>31</v>
      </c>
      <c r="AD3" s="29" t="s">
        <v>32</v>
      </c>
      <c r="AE3" s="31" t="s">
        <v>45</v>
      </c>
      <c r="AF3" s="28" t="s">
        <v>29</v>
      </c>
      <c r="AG3" s="29" t="s">
        <v>30</v>
      </c>
      <c r="AH3" s="29" t="s">
        <v>31</v>
      </c>
      <c r="AI3" s="29" t="s">
        <v>32</v>
      </c>
      <c r="AJ3" s="31" t="s">
        <v>45</v>
      </c>
      <c r="AK3" s="26" t="s">
        <v>94</v>
      </c>
      <c r="AL3" s="25" t="s">
        <v>95</v>
      </c>
      <c r="AM3" s="26" t="s">
        <v>94</v>
      </c>
      <c r="AN3" s="27" t="s">
        <v>95</v>
      </c>
      <c r="AO3" s="21"/>
      <c r="AP3" s="21" t="s">
        <v>47</v>
      </c>
      <c r="AQ3" s="22"/>
      <c r="AR3" s="22"/>
      <c r="AS3" s="22"/>
      <c r="AT3" s="23" t="s">
        <v>159</v>
      </c>
      <c r="AU3" s="48" t="s">
        <v>160</v>
      </c>
      <c r="AV3" s="23"/>
      <c r="AW3" s="23" t="s">
        <v>97</v>
      </c>
      <c r="AX3" s="49" t="s">
        <v>85</v>
      </c>
      <c r="AY3" s="18" t="s">
        <v>167</v>
      </c>
      <c r="AZ3" s="189"/>
      <c r="BA3" s="24"/>
    </row>
    <row r="4" spans="1:54" ht="13.5" customHeight="1">
      <c r="A4" s="147"/>
      <c r="B4" s="148">
        <v>0</v>
      </c>
      <c r="C4" s="149"/>
      <c r="D4" s="149"/>
      <c r="E4" s="150"/>
      <c r="F4" s="149"/>
      <c r="G4" s="149"/>
      <c r="H4" s="151"/>
      <c r="I4" s="152"/>
      <c r="J4" s="152"/>
      <c r="K4" s="152"/>
      <c r="L4" s="153"/>
      <c r="M4" s="154"/>
      <c r="N4" s="154"/>
      <c r="O4" s="155"/>
      <c r="P4" s="154"/>
      <c r="Q4" s="154"/>
      <c r="R4" s="154"/>
      <c r="S4" s="152"/>
      <c r="T4" s="153"/>
      <c r="U4" s="156"/>
      <c r="V4" s="157"/>
      <c r="W4" s="158"/>
      <c r="X4" s="158"/>
      <c r="Y4" s="158"/>
      <c r="Z4" s="158"/>
      <c r="AA4" s="159"/>
      <c r="AB4" s="158"/>
      <c r="AC4" s="158"/>
      <c r="AD4" s="158"/>
      <c r="AE4" s="160"/>
      <c r="AF4" s="158"/>
      <c r="AG4" s="158"/>
      <c r="AH4" s="158"/>
      <c r="AI4" s="158"/>
      <c r="AJ4" s="158"/>
      <c r="AK4" s="161"/>
      <c r="AL4" s="162"/>
      <c r="AM4" s="163"/>
      <c r="AN4" s="164"/>
      <c r="AO4" s="158"/>
      <c r="AP4" s="158"/>
      <c r="AQ4" s="165"/>
      <c r="AR4" s="165"/>
      <c r="AS4" s="165"/>
      <c r="AT4" s="166"/>
      <c r="AU4" s="194"/>
      <c r="AV4" s="167"/>
      <c r="AW4" s="167"/>
      <c r="AX4" s="168"/>
      <c r="AY4" s="154"/>
      <c r="AZ4" s="195"/>
      <c r="BA4" s="169" t="str">
        <f>A5</f>
        <v>CF CHS 76,1 x 5</v>
      </c>
      <c r="BB4" s="74"/>
    </row>
    <row r="5" spans="1:54" s="146" customFormat="1" ht="13.5" customHeight="1">
      <c r="A5" s="147" t="s">
        <v>291</v>
      </c>
      <c r="B5" s="62">
        <f>AT5</f>
        <v>13.437710329735909</v>
      </c>
      <c r="C5" s="149">
        <v>76.099999999999994</v>
      </c>
      <c r="D5" s="149"/>
      <c r="E5" s="150" t="s">
        <v>822</v>
      </c>
      <c r="F5" s="149"/>
      <c r="G5" s="149"/>
      <c r="H5" s="151">
        <v>8.7671640785566964</v>
      </c>
      <c r="I5" s="152">
        <v>8.9346895068093719</v>
      </c>
      <c r="J5" s="152">
        <v>1116.8361883511714</v>
      </c>
      <c r="K5" s="152">
        <v>0.23907520093818324</v>
      </c>
      <c r="L5" s="153">
        <v>709220.29655293818</v>
      </c>
      <c r="M5" s="154">
        <v>18639.166795083787</v>
      </c>
      <c r="N5" s="154">
        <v>25317.716666666667</v>
      </c>
      <c r="O5" s="155">
        <v>25.199727181062897</v>
      </c>
      <c r="P5" s="154">
        <v>709220.29655293818</v>
      </c>
      <c r="Q5" s="154">
        <v>18639.166795083787</v>
      </c>
      <c r="R5" s="154">
        <v>25317.716666666667</v>
      </c>
      <c r="S5" s="152">
        <v>25.199727181062897</v>
      </c>
      <c r="T5" s="153">
        <v>1418440.5931058764</v>
      </c>
      <c r="U5" s="156"/>
      <c r="V5" s="157">
        <v>1</v>
      </c>
      <c r="W5" s="158">
        <v>1</v>
      </c>
      <c r="X5" s="158">
        <v>1</v>
      </c>
      <c r="Y5" s="158">
        <v>1</v>
      </c>
      <c r="Z5" s="158">
        <v>1</v>
      </c>
      <c r="AA5" s="159">
        <v>1</v>
      </c>
      <c r="AB5" s="158">
        <v>1</v>
      </c>
      <c r="AC5" s="158">
        <v>1</v>
      </c>
      <c r="AD5" s="158">
        <v>1</v>
      </c>
      <c r="AE5" s="160">
        <v>1</v>
      </c>
      <c r="AF5" s="170">
        <v>1</v>
      </c>
      <c r="AG5" s="158">
        <v>1</v>
      </c>
      <c r="AH5" s="158">
        <v>1</v>
      </c>
      <c r="AI5" s="158">
        <v>1</v>
      </c>
      <c r="AJ5" s="158">
        <v>1</v>
      </c>
      <c r="AK5" s="73">
        <f>K5/J5*1000000</f>
        <v>214.0646976090014</v>
      </c>
      <c r="AL5" s="162"/>
      <c r="AM5" s="163"/>
      <c r="AN5" s="164"/>
      <c r="AO5" s="170" t="s">
        <v>49</v>
      </c>
      <c r="AP5" s="70">
        <f>IF(AO5="a0",0.13,IF(AO5="a",0.21,IF(AO5="b",0.34,IF(AO5="c",0.49,0.76))))</f>
        <v>0.49</v>
      </c>
      <c r="AQ5" s="72">
        <f>IF(head!F$82="S235",235,IF(head!F$82="S275",275,IF(head!F$82="S355",355,IF(head!F$82="S420",420,460))))^0.5*head!$G$70*1000/(S5*3.1416*210000^0.5)</f>
        <v>5.1934720880570353</v>
      </c>
      <c r="AR5" s="72">
        <f>0.5*(1+AP5*(AQ5-0.2)+AQ5^2)</f>
        <v>15.209476826287725</v>
      </c>
      <c r="AS5" s="72">
        <f>IF(AQ5&lt;=0.2,1,1/(AR5+(AR5^2-AQ5^2)^0.5))</f>
        <v>3.3892799632566598E-2</v>
      </c>
      <c r="AT5" s="52">
        <f>IF(head!F$82="S235",235,IF(head!F$82="S275",275,IF(head!F$82="S355",355,IF(head!F$82="S420",420,460))))*AS5*J5/1000</f>
        <v>13.437710329735909</v>
      </c>
      <c r="AU5" s="203" t="s">
        <v>47</v>
      </c>
      <c r="AV5" s="204" t="s">
        <v>47</v>
      </c>
      <c r="AW5" s="204" t="s">
        <v>47</v>
      </c>
      <c r="AX5" s="205" t="s">
        <v>47</v>
      </c>
      <c r="AY5" s="206" t="s">
        <v>47</v>
      </c>
      <c r="AZ5" s="193">
        <v>0</v>
      </c>
      <c r="BA5" s="169" t="str">
        <f>A6</f>
        <v>CF CHS 76,1 x 5,6</v>
      </c>
      <c r="BB5" s="145"/>
    </row>
    <row r="6" spans="1:54" s="146" customFormat="1" ht="13.5" customHeight="1">
      <c r="A6" s="147" t="s">
        <v>292</v>
      </c>
      <c r="B6" s="62">
        <f t="shared" ref="B6:B65" si="0">AT6</f>
        <v>14.702401530897305</v>
      </c>
      <c r="C6" s="149">
        <v>76.099999999999994</v>
      </c>
      <c r="D6" s="149"/>
      <c r="E6" s="150" t="s">
        <v>823</v>
      </c>
      <c r="F6" s="149"/>
      <c r="G6" s="149"/>
      <c r="H6" s="151">
        <v>9.736361120152413</v>
      </c>
      <c r="I6" s="152">
        <v>9.9224062370980004</v>
      </c>
      <c r="J6" s="152">
        <v>1240.3007796372501</v>
      </c>
      <c r="K6" s="152">
        <v>0.23907520093818324</v>
      </c>
      <c r="L6" s="153">
        <v>775437.59780518326</v>
      </c>
      <c r="M6" s="154">
        <v>20379.437524446344</v>
      </c>
      <c r="N6" s="154">
        <v>27891.938666666665</v>
      </c>
      <c r="O6" s="155">
        <v>25.004024676039656</v>
      </c>
      <c r="P6" s="154">
        <v>775437.59780518326</v>
      </c>
      <c r="Q6" s="154">
        <v>20379.437524446344</v>
      </c>
      <c r="R6" s="154">
        <v>27891.938666666665</v>
      </c>
      <c r="S6" s="152">
        <v>25.004024676039656</v>
      </c>
      <c r="T6" s="153">
        <v>1550875.1956103665</v>
      </c>
      <c r="U6" s="156"/>
      <c r="V6" s="157">
        <v>1</v>
      </c>
      <c r="W6" s="158">
        <v>1</v>
      </c>
      <c r="X6" s="158">
        <v>1</v>
      </c>
      <c r="Y6" s="158">
        <v>1</v>
      </c>
      <c r="Z6" s="158">
        <v>1</v>
      </c>
      <c r="AA6" s="159">
        <v>1</v>
      </c>
      <c r="AB6" s="158">
        <v>1</v>
      </c>
      <c r="AC6" s="158">
        <v>1</v>
      </c>
      <c r="AD6" s="158">
        <v>1</v>
      </c>
      <c r="AE6" s="160">
        <v>1</v>
      </c>
      <c r="AF6" s="170">
        <v>1</v>
      </c>
      <c r="AG6" s="158">
        <v>1</v>
      </c>
      <c r="AH6" s="158">
        <v>1</v>
      </c>
      <c r="AI6" s="158">
        <v>1</v>
      </c>
      <c r="AJ6" s="158">
        <v>1</v>
      </c>
      <c r="AK6" s="73">
        <f t="shared" ref="AK6:AK66" si="1">K6/J6*1000000</f>
        <v>192.75582573454918</v>
      </c>
      <c r="AL6" s="162"/>
      <c r="AM6" s="163"/>
      <c r="AN6" s="164"/>
      <c r="AO6" s="170" t="s">
        <v>49</v>
      </c>
      <c r="AP6" s="70">
        <f t="shared" ref="AP6:AP69" si="2">IF(AO6="a0",0.13,IF(AO6="a",0.21,IF(AO6="b",0.34,IF(AO6="c",0.49,0.76))))</f>
        <v>0.49</v>
      </c>
      <c r="AQ6" s="72">
        <f>IF(head!F$82="S235",235,IF(head!F$82="S275",275,IF(head!F$82="S355",355,IF(head!F$82="S420",420,460))))^0.5*head!$G$70*1000/(S6*3.1416*210000^0.5)</f>
        <v>5.2341205640751776</v>
      </c>
      <c r="AR6" s="72">
        <f t="shared" ref="AR6:AR69" si="3">0.5*(1+AP6*(AQ6-0.2)+AQ6^2)</f>
        <v>15.431368577835745</v>
      </c>
      <c r="AS6" s="72">
        <f t="shared" ref="AS6:AS69" si="4">IF(AQ6&lt;=0.2,1,1/(AR6+(AR6^2-AQ6^2)^0.5))</f>
        <v>3.3391267876252635E-2</v>
      </c>
      <c r="AT6" s="52">
        <f>IF(head!F$82="S235",235,IF(head!F$82="S275",275,IF(head!F$82="S355",355,IF(head!F$82="S420",420,460))))*AS6*J6/1000</f>
        <v>14.702401530897305</v>
      </c>
      <c r="AU6" s="192" t="s">
        <v>47</v>
      </c>
      <c r="AV6" s="75" t="s">
        <v>47</v>
      </c>
      <c r="AW6" s="75" t="s">
        <v>47</v>
      </c>
      <c r="AX6" s="76" t="s">
        <v>47</v>
      </c>
      <c r="AY6" s="67" t="s">
        <v>47</v>
      </c>
      <c r="AZ6" s="193">
        <v>0</v>
      </c>
      <c r="BA6" s="169" t="str">
        <f t="shared" ref="BA6:BA69" si="5">A7</f>
        <v>CF CHS 76,1 x 6,3</v>
      </c>
      <c r="BB6" s="145"/>
    </row>
    <row r="7" spans="1:54" s="146" customFormat="1" ht="13.5" customHeight="1">
      <c r="A7" s="147" t="s">
        <v>293</v>
      </c>
      <c r="B7" s="62">
        <f t="shared" si="0"/>
        <v>16.094391165573164</v>
      </c>
      <c r="C7" s="149">
        <v>76.099999999999994</v>
      </c>
      <c r="D7" s="149"/>
      <c r="E7" s="150" t="s">
        <v>824</v>
      </c>
      <c r="F7" s="149"/>
      <c r="G7" s="149"/>
      <c r="H7" s="151">
        <v>10.84464903489317</v>
      </c>
      <c r="I7" s="152">
        <v>11.051871627916606</v>
      </c>
      <c r="J7" s="152">
        <v>1381.4839534895757</v>
      </c>
      <c r="K7" s="152">
        <v>0.23907520093818324</v>
      </c>
      <c r="L7" s="153">
        <v>848184.52235916897</v>
      </c>
      <c r="M7" s="154">
        <v>22291.314648072774</v>
      </c>
      <c r="N7" s="154">
        <v>30777.200999999994</v>
      </c>
      <c r="O7" s="155">
        <v>24.778342357793022</v>
      </c>
      <c r="P7" s="154">
        <v>848184.52235916897</v>
      </c>
      <c r="Q7" s="154">
        <v>22291.314648072774</v>
      </c>
      <c r="R7" s="154">
        <v>30777.200999999994</v>
      </c>
      <c r="S7" s="152">
        <v>24.778342357793022</v>
      </c>
      <c r="T7" s="153">
        <v>1696369.0447183379</v>
      </c>
      <c r="U7" s="156"/>
      <c r="V7" s="157">
        <v>1</v>
      </c>
      <c r="W7" s="158">
        <v>1</v>
      </c>
      <c r="X7" s="158">
        <v>1</v>
      </c>
      <c r="Y7" s="158">
        <v>1</v>
      </c>
      <c r="Z7" s="158">
        <v>1</v>
      </c>
      <c r="AA7" s="159">
        <v>1</v>
      </c>
      <c r="AB7" s="158">
        <v>1</v>
      </c>
      <c r="AC7" s="158">
        <v>1</v>
      </c>
      <c r="AD7" s="158">
        <v>1</v>
      </c>
      <c r="AE7" s="160">
        <v>1</v>
      </c>
      <c r="AF7" s="170">
        <v>1</v>
      </c>
      <c r="AG7" s="158">
        <v>1</v>
      </c>
      <c r="AH7" s="158">
        <v>1</v>
      </c>
      <c r="AI7" s="158">
        <v>1</v>
      </c>
      <c r="AJ7" s="158">
        <v>1</v>
      </c>
      <c r="AK7" s="73">
        <f t="shared" si="1"/>
        <v>173.05680629462864</v>
      </c>
      <c r="AL7" s="162"/>
      <c r="AM7" s="163"/>
      <c r="AN7" s="164"/>
      <c r="AO7" s="170" t="s">
        <v>49</v>
      </c>
      <c r="AP7" s="70">
        <f t="shared" si="2"/>
        <v>0.49</v>
      </c>
      <c r="AQ7" s="72">
        <f>IF(head!F$82="S235",235,IF(head!F$82="S275",275,IF(head!F$82="S355",355,IF(head!F$82="S420",420,460))))^0.5*head!$G$70*1000/(S7*3.1416*210000^0.5)</f>
        <v>5.2817931825992881</v>
      </c>
      <c r="AR7" s="72">
        <f t="shared" si="3"/>
        <v>15.693708941612982</v>
      </c>
      <c r="AS7" s="72">
        <f t="shared" si="4"/>
        <v>3.2817111648631041E-2</v>
      </c>
      <c r="AT7" s="52">
        <f>IF(head!F$82="S235",235,IF(head!F$82="S275",275,IF(head!F$82="S355",355,IF(head!F$82="S420",420,460))))*AS7*J7/1000</f>
        <v>16.094391165573164</v>
      </c>
      <c r="AU7" s="192" t="s">
        <v>47</v>
      </c>
      <c r="AV7" s="75" t="s">
        <v>47</v>
      </c>
      <c r="AW7" s="75" t="s">
        <v>47</v>
      </c>
      <c r="AX7" s="76" t="s">
        <v>47</v>
      </c>
      <c r="AY7" s="67" t="s">
        <v>47</v>
      </c>
      <c r="AZ7" s="193">
        <v>0</v>
      </c>
      <c r="BA7" s="169" t="str">
        <f t="shared" si="5"/>
        <v>CF CHS 76,1 x 7,1</v>
      </c>
      <c r="BB7" s="145"/>
    </row>
    <row r="8" spans="1:54" s="146" customFormat="1" ht="13.5" customHeight="1">
      <c r="A8" s="147" t="s">
        <v>294</v>
      </c>
      <c r="B8" s="62">
        <f t="shared" si="0"/>
        <v>17.579646857739213</v>
      </c>
      <c r="C8" s="149">
        <v>76.099999999999994</v>
      </c>
      <c r="D8" s="149"/>
      <c r="E8" s="150" t="s">
        <v>825</v>
      </c>
      <c r="F8" s="149"/>
      <c r="G8" s="149"/>
      <c r="H8" s="151">
        <v>12.081669991800073</v>
      </c>
      <c r="I8" s="152">
        <v>12.312529927949118</v>
      </c>
      <c r="J8" s="152">
        <v>1539.0662409936399</v>
      </c>
      <c r="K8" s="152">
        <v>0.23907520093818324</v>
      </c>
      <c r="L8" s="153">
        <v>925634.83782240085</v>
      </c>
      <c r="M8" s="154">
        <v>24326.802570890959</v>
      </c>
      <c r="N8" s="154">
        <v>33922.403666666665</v>
      </c>
      <c r="O8" s="155">
        <v>24.523993353448777</v>
      </c>
      <c r="P8" s="154">
        <v>925634.83782240085</v>
      </c>
      <c r="Q8" s="154">
        <v>24326.802570890959</v>
      </c>
      <c r="R8" s="154">
        <v>33922.403666666665</v>
      </c>
      <c r="S8" s="152">
        <v>24.523993353448777</v>
      </c>
      <c r="T8" s="153">
        <v>1851269.6756448017</v>
      </c>
      <c r="U8" s="156"/>
      <c r="V8" s="157">
        <v>1</v>
      </c>
      <c r="W8" s="158">
        <v>1</v>
      </c>
      <c r="X8" s="158">
        <v>1</v>
      </c>
      <c r="Y8" s="158">
        <v>1</v>
      </c>
      <c r="Z8" s="158">
        <v>1</v>
      </c>
      <c r="AA8" s="159">
        <v>1</v>
      </c>
      <c r="AB8" s="158">
        <v>1</v>
      </c>
      <c r="AC8" s="158">
        <v>1</v>
      </c>
      <c r="AD8" s="158">
        <v>1</v>
      </c>
      <c r="AE8" s="160">
        <v>1</v>
      </c>
      <c r="AF8" s="170">
        <v>1</v>
      </c>
      <c r="AG8" s="158">
        <v>1</v>
      </c>
      <c r="AH8" s="158">
        <v>1</v>
      </c>
      <c r="AI8" s="158">
        <v>1</v>
      </c>
      <c r="AJ8" s="158">
        <v>1</v>
      </c>
      <c r="AK8" s="73">
        <f t="shared" si="1"/>
        <v>155.33782404572358</v>
      </c>
      <c r="AL8" s="162"/>
      <c r="AM8" s="163"/>
      <c r="AN8" s="164"/>
      <c r="AO8" s="170" t="s">
        <v>49</v>
      </c>
      <c r="AP8" s="70">
        <f t="shared" si="2"/>
        <v>0.49</v>
      </c>
      <c r="AQ8" s="72">
        <f>IF(head!F$82="S235",235,IF(head!F$82="S275",275,IF(head!F$82="S355",355,IF(head!F$82="S420",420,460))))^0.5*head!$G$70*1000/(S8*3.1416*210000^0.5)</f>
        <v>5.3365729575643401</v>
      </c>
      <c r="AR8" s="72">
        <f t="shared" si="3"/>
        <v>15.997965840306767</v>
      </c>
      <c r="AS8" s="72">
        <f t="shared" si="4"/>
        <v>3.2175439025717817E-2</v>
      </c>
      <c r="AT8" s="52">
        <f>IF(head!F$82="S235",235,IF(head!F$82="S275",275,IF(head!F$82="S355",355,IF(head!F$82="S420",420,460))))*AS8*J8/1000</f>
        <v>17.579646857739213</v>
      </c>
      <c r="AU8" s="192" t="s">
        <v>47</v>
      </c>
      <c r="AV8" s="75" t="s">
        <v>47</v>
      </c>
      <c r="AW8" s="75" t="s">
        <v>47</v>
      </c>
      <c r="AX8" s="76" t="s">
        <v>47</v>
      </c>
      <c r="AY8" s="67" t="s">
        <v>47</v>
      </c>
      <c r="AZ8" s="193">
        <v>0</v>
      </c>
      <c r="BA8" s="169" t="str">
        <f t="shared" si="5"/>
        <v>CF CHS 76,1 x 8</v>
      </c>
      <c r="BB8" s="145"/>
    </row>
    <row r="9" spans="1:54" s="146" customFormat="1" ht="13.5" customHeight="1">
      <c r="A9" s="147" t="s">
        <v>295</v>
      </c>
      <c r="B9" s="62">
        <f t="shared" si="0"/>
        <v>19.122353398692468</v>
      </c>
      <c r="C9" s="149">
        <v>76.099999999999994</v>
      </c>
      <c r="D9" s="149"/>
      <c r="E9" s="150" t="s">
        <v>826</v>
      </c>
      <c r="F9" s="149"/>
      <c r="G9" s="149"/>
      <c r="H9" s="151">
        <v>13.435586469754394</v>
      </c>
      <c r="I9" s="152">
        <v>13.692317421405752</v>
      </c>
      <c r="J9" s="152">
        <v>1711.5396776757191</v>
      </c>
      <c r="K9" s="152">
        <v>0.23907520093818324</v>
      </c>
      <c r="L9" s="153">
        <v>1005874.0079946171</v>
      </c>
      <c r="M9" s="154">
        <v>26435.58496700702</v>
      </c>
      <c r="N9" s="154">
        <v>37271.546666666662</v>
      </c>
      <c r="O9" s="155">
        <v>24.242550402133848</v>
      </c>
      <c r="P9" s="154">
        <v>1005874.0079946171</v>
      </c>
      <c r="Q9" s="154">
        <v>26435.58496700702</v>
      </c>
      <c r="R9" s="154">
        <v>37271.546666666662</v>
      </c>
      <c r="S9" s="152">
        <v>24.242550402133848</v>
      </c>
      <c r="T9" s="153">
        <v>2011748.0159892342</v>
      </c>
      <c r="U9" s="156"/>
      <c r="V9" s="157">
        <v>1</v>
      </c>
      <c r="W9" s="158">
        <v>1</v>
      </c>
      <c r="X9" s="158">
        <v>1</v>
      </c>
      <c r="Y9" s="158">
        <v>1</v>
      </c>
      <c r="Z9" s="158">
        <v>1</v>
      </c>
      <c r="AA9" s="159">
        <v>1</v>
      </c>
      <c r="AB9" s="158">
        <v>1</v>
      </c>
      <c r="AC9" s="158">
        <v>1</v>
      </c>
      <c r="AD9" s="158">
        <v>1</v>
      </c>
      <c r="AE9" s="160">
        <v>1</v>
      </c>
      <c r="AF9" s="170">
        <v>1</v>
      </c>
      <c r="AG9" s="158">
        <v>1</v>
      </c>
      <c r="AH9" s="158">
        <v>1</v>
      </c>
      <c r="AI9" s="158">
        <v>1</v>
      </c>
      <c r="AJ9" s="158">
        <v>1</v>
      </c>
      <c r="AK9" s="73">
        <f t="shared" si="1"/>
        <v>139.68428781204113</v>
      </c>
      <c r="AL9" s="162"/>
      <c r="AM9" s="163"/>
      <c r="AN9" s="164"/>
      <c r="AO9" s="170" t="s">
        <v>49</v>
      </c>
      <c r="AP9" s="70">
        <f t="shared" si="2"/>
        <v>0.49</v>
      </c>
      <c r="AQ9" s="72">
        <f>IF(head!F$82="S235",235,IF(head!F$82="S275",275,IF(head!F$82="S355",355,IF(head!F$82="S420",420,460))))^0.5*head!$G$70*1000/(S9*3.1416*210000^0.5)</f>
        <v>5.3985276949236631</v>
      </c>
      <c r="AR9" s="72">
        <f t="shared" si="3"/>
        <v>16.345689921685196</v>
      </c>
      <c r="AS9" s="72">
        <f t="shared" si="4"/>
        <v>3.1472121227606578E-2</v>
      </c>
      <c r="AT9" s="52">
        <f>IF(head!F$82="S235",235,IF(head!F$82="S275",275,IF(head!F$82="S355",355,IF(head!F$82="S420",420,460))))*AS9*J9/1000</f>
        <v>19.122353398692468</v>
      </c>
      <c r="AU9" s="192" t="s">
        <v>47</v>
      </c>
      <c r="AV9" s="75" t="s">
        <v>47</v>
      </c>
      <c r="AW9" s="75" t="s">
        <v>47</v>
      </c>
      <c r="AX9" s="76" t="s">
        <v>47</v>
      </c>
      <c r="AY9" s="67" t="s">
        <v>47</v>
      </c>
      <c r="AZ9" s="193">
        <v>0</v>
      </c>
      <c r="BA9" s="169" t="str">
        <f t="shared" si="5"/>
        <v>CF CHS 76,1 x 8,8</v>
      </c>
      <c r="BB9" s="145"/>
    </row>
    <row r="10" spans="1:54" s="146" customFormat="1" ht="13.5" customHeight="1">
      <c r="A10" s="147" t="s">
        <v>296</v>
      </c>
      <c r="B10" s="62">
        <f t="shared" si="0"/>
        <v>20.385498511048056</v>
      </c>
      <c r="C10" s="149">
        <v>76.099999999999994</v>
      </c>
      <c r="D10" s="149"/>
      <c r="E10" s="150" t="s">
        <v>827</v>
      </c>
      <c r="F10" s="149"/>
      <c r="G10" s="149"/>
      <c r="H10" s="151">
        <v>14.605528140321848</v>
      </c>
      <c r="I10" s="152">
        <v>14.884614665296152</v>
      </c>
      <c r="J10" s="152">
        <v>1860.5768331620191</v>
      </c>
      <c r="K10" s="152">
        <v>0.23907520093818324</v>
      </c>
      <c r="L10" s="153">
        <v>1071396.8893290581</v>
      </c>
      <c r="M10" s="154">
        <v>28157.605501420716</v>
      </c>
      <c r="N10" s="154">
        <v>40084.909333333329</v>
      </c>
      <c r="O10" s="155">
        <v>23.99669248042321</v>
      </c>
      <c r="P10" s="154">
        <v>1071396.8893290581</v>
      </c>
      <c r="Q10" s="154">
        <v>28157.605501420716</v>
      </c>
      <c r="R10" s="154">
        <v>40084.909333333329</v>
      </c>
      <c r="S10" s="152">
        <v>23.99669248042321</v>
      </c>
      <c r="T10" s="153">
        <v>2142793.7786581162</v>
      </c>
      <c r="U10" s="156"/>
      <c r="V10" s="157">
        <v>1</v>
      </c>
      <c r="W10" s="158">
        <v>1</v>
      </c>
      <c r="X10" s="158">
        <v>1</v>
      </c>
      <c r="Y10" s="158">
        <v>1</v>
      </c>
      <c r="Z10" s="158">
        <v>1</v>
      </c>
      <c r="AA10" s="159">
        <v>1</v>
      </c>
      <c r="AB10" s="158">
        <v>1</v>
      </c>
      <c r="AC10" s="158">
        <v>1</v>
      </c>
      <c r="AD10" s="158">
        <v>1</v>
      </c>
      <c r="AE10" s="160">
        <v>1</v>
      </c>
      <c r="AF10" s="170">
        <v>1</v>
      </c>
      <c r="AG10" s="158">
        <v>1</v>
      </c>
      <c r="AH10" s="158">
        <v>1</v>
      </c>
      <c r="AI10" s="158">
        <v>1</v>
      </c>
      <c r="AJ10" s="158">
        <v>1</v>
      </c>
      <c r="AK10" s="73">
        <f t="shared" si="1"/>
        <v>128.49520464676482</v>
      </c>
      <c r="AL10" s="162"/>
      <c r="AM10" s="163"/>
      <c r="AN10" s="164"/>
      <c r="AO10" s="170" t="s">
        <v>49</v>
      </c>
      <c r="AP10" s="70">
        <f t="shared" si="2"/>
        <v>0.49</v>
      </c>
      <c r="AQ10" s="72">
        <f>IF(head!F$82="S235",235,IF(head!F$82="S275",275,IF(head!F$82="S355",355,IF(head!F$82="S420",420,460))))^0.5*head!$G$70*1000/(S10*3.1416*210000^0.5)</f>
        <v>5.4538382674308545</v>
      </c>
      <c r="AR10" s="72">
        <f t="shared" si="3"/>
        <v>16.659366299167154</v>
      </c>
      <c r="AS10" s="72">
        <f t="shared" si="4"/>
        <v>3.0863514177025403E-2</v>
      </c>
      <c r="AT10" s="52">
        <f>IF(head!F$82="S235",235,IF(head!F$82="S275",275,IF(head!F$82="S355",355,IF(head!F$82="S420",420,460))))*AS10*J10/1000</f>
        <v>20.385498511048056</v>
      </c>
      <c r="AU10" s="192" t="s">
        <v>47</v>
      </c>
      <c r="AV10" s="75" t="s">
        <v>47</v>
      </c>
      <c r="AW10" s="75" t="s">
        <v>47</v>
      </c>
      <c r="AX10" s="76" t="s">
        <v>47</v>
      </c>
      <c r="AY10" s="67" t="s">
        <v>47</v>
      </c>
      <c r="AZ10" s="193">
        <v>0</v>
      </c>
      <c r="BA10" s="169" t="str">
        <f t="shared" si="5"/>
        <v>CF CHS 76,1 x 10</v>
      </c>
      <c r="BB10" s="145"/>
    </row>
    <row r="11" spans="1:54" s="146" customFormat="1" ht="13.5" customHeight="1">
      <c r="A11" s="147" t="s">
        <v>297</v>
      </c>
      <c r="B11" s="62">
        <f t="shared" si="0"/>
        <v>22.100941058122913</v>
      </c>
      <c r="C11" s="149">
        <v>76.099999999999994</v>
      </c>
      <c r="D11" s="149"/>
      <c r="E11" s="150" t="s">
        <v>828</v>
      </c>
      <c r="F11" s="149"/>
      <c r="G11" s="149"/>
      <c r="H11" s="151">
        <v>16.301253040579393</v>
      </c>
      <c r="I11" s="152">
        <v>16.612741952182819</v>
      </c>
      <c r="J11" s="152">
        <v>2076.5927440228529</v>
      </c>
      <c r="K11" s="152">
        <v>0.23907520093818324</v>
      </c>
      <c r="L11" s="153">
        <v>1160091.1321892964</v>
      </c>
      <c r="M11" s="154">
        <v>30488.597429416466</v>
      </c>
      <c r="N11" s="154">
        <v>44025.43333333332</v>
      </c>
      <c r="O11" s="155">
        <v>23.635804407720077</v>
      </c>
      <c r="P11" s="154">
        <v>1160091.1321892964</v>
      </c>
      <c r="Q11" s="154">
        <v>30488.597429416466</v>
      </c>
      <c r="R11" s="154">
        <v>44025.43333333332</v>
      </c>
      <c r="S11" s="152">
        <v>23.635804407720077</v>
      </c>
      <c r="T11" s="153">
        <v>2320182.2643785928</v>
      </c>
      <c r="U11" s="156"/>
      <c r="V11" s="157">
        <v>1</v>
      </c>
      <c r="W11" s="158">
        <v>1</v>
      </c>
      <c r="X11" s="158">
        <v>1</v>
      </c>
      <c r="Y11" s="158">
        <v>1</v>
      </c>
      <c r="Z11" s="158">
        <v>1</v>
      </c>
      <c r="AA11" s="159">
        <v>1</v>
      </c>
      <c r="AB11" s="158">
        <v>1</v>
      </c>
      <c r="AC11" s="158">
        <v>1</v>
      </c>
      <c r="AD11" s="158">
        <v>1</v>
      </c>
      <c r="AE11" s="160">
        <v>1</v>
      </c>
      <c r="AF11" s="170">
        <v>1</v>
      </c>
      <c r="AG11" s="158">
        <v>1</v>
      </c>
      <c r="AH11" s="158">
        <v>1</v>
      </c>
      <c r="AI11" s="158">
        <v>1</v>
      </c>
      <c r="AJ11" s="158">
        <v>1</v>
      </c>
      <c r="AK11" s="73">
        <f t="shared" si="1"/>
        <v>115.12859304084721</v>
      </c>
      <c r="AL11" s="162"/>
      <c r="AM11" s="163"/>
      <c r="AN11" s="164"/>
      <c r="AO11" s="170" t="s">
        <v>49</v>
      </c>
      <c r="AP11" s="70">
        <f t="shared" si="2"/>
        <v>0.49</v>
      </c>
      <c r="AQ11" s="72">
        <f>IF(head!F$82="S235",235,IF(head!F$82="S275",275,IF(head!F$82="S355",355,IF(head!F$82="S420",420,460))))^0.5*head!$G$70*1000/(S11*3.1416*210000^0.5)</f>
        <v>5.5371113030007741</v>
      </c>
      <c r="AR11" s="72">
        <f t="shared" si="3"/>
        <v>17.137393060144653</v>
      </c>
      <c r="AS11" s="72">
        <f t="shared" si="4"/>
        <v>2.9979962211611821E-2</v>
      </c>
      <c r="AT11" s="52">
        <f>IF(head!F$82="S235",235,IF(head!F$82="S275",275,IF(head!F$82="S355",355,IF(head!F$82="S420",420,460))))*AS11*J11/1000</f>
        <v>22.100941058122913</v>
      </c>
      <c r="AU11" s="192" t="s">
        <v>47</v>
      </c>
      <c r="AV11" s="75" t="s">
        <v>47</v>
      </c>
      <c r="AW11" s="75" t="s">
        <v>47</v>
      </c>
      <c r="AX11" s="76" t="s">
        <v>47</v>
      </c>
      <c r="AY11" s="67" t="s">
        <v>47</v>
      </c>
      <c r="AZ11" s="193">
        <v>0</v>
      </c>
      <c r="BA11" s="169" t="str">
        <f t="shared" si="5"/>
        <v>CF CHS 76,1 x 12,5</v>
      </c>
      <c r="BB11" s="145"/>
    </row>
    <row r="12" spans="1:54" s="146" customFormat="1" ht="13.5" customHeight="1">
      <c r="A12" s="147" t="s">
        <v>298</v>
      </c>
      <c r="B12" s="62">
        <f t="shared" si="0"/>
        <v>25.050240316012427</v>
      </c>
      <c r="C12" s="149">
        <v>76.099999999999994</v>
      </c>
      <c r="D12" s="149"/>
      <c r="E12" s="150" t="s">
        <v>829</v>
      </c>
      <c r="F12" s="149"/>
      <c r="G12" s="149"/>
      <c r="H12" s="151">
        <v>19.605894352890498</v>
      </c>
      <c r="I12" s="152">
        <v>19.980529276831081</v>
      </c>
      <c r="J12" s="152">
        <v>2497.5661596038854</v>
      </c>
      <c r="K12" s="152">
        <v>0.23907520093818324</v>
      </c>
      <c r="L12" s="153">
        <v>1311599.9906736794</v>
      </c>
      <c r="M12" s="154">
        <v>34470.43339484046</v>
      </c>
      <c r="N12" s="154">
        <v>51213.04166666665</v>
      </c>
      <c r="O12" s="155">
        <v>22.916178782685385</v>
      </c>
      <c r="P12" s="154">
        <v>1311599.9906736794</v>
      </c>
      <c r="Q12" s="154">
        <v>34470.43339484046</v>
      </c>
      <c r="R12" s="154">
        <v>51213.04166666665</v>
      </c>
      <c r="S12" s="152">
        <v>22.916178782685385</v>
      </c>
      <c r="T12" s="153">
        <v>2623199.9813473588</v>
      </c>
      <c r="U12" s="156"/>
      <c r="V12" s="157">
        <v>1</v>
      </c>
      <c r="W12" s="158">
        <v>1</v>
      </c>
      <c r="X12" s="158">
        <v>1</v>
      </c>
      <c r="Y12" s="158">
        <v>1</v>
      </c>
      <c r="Z12" s="158">
        <v>1</v>
      </c>
      <c r="AA12" s="159">
        <v>1</v>
      </c>
      <c r="AB12" s="158">
        <v>1</v>
      </c>
      <c r="AC12" s="158">
        <v>1</v>
      </c>
      <c r="AD12" s="158">
        <v>1</v>
      </c>
      <c r="AE12" s="160">
        <v>1</v>
      </c>
      <c r="AF12" s="170">
        <v>1</v>
      </c>
      <c r="AG12" s="158">
        <v>1</v>
      </c>
      <c r="AH12" s="158">
        <v>1</v>
      </c>
      <c r="AI12" s="158">
        <v>1</v>
      </c>
      <c r="AJ12" s="158">
        <v>1</v>
      </c>
      <c r="AK12" s="73">
        <f t="shared" si="1"/>
        <v>95.723270440251582</v>
      </c>
      <c r="AL12" s="162"/>
      <c r="AM12" s="163"/>
      <c r="AN12" s="164"/>
      <c r="AO12" s="170" t="s">
        <v>49</v>
      </c>
      <c r="AP12" s="70">
        <f t="shared" si="2"/>
        <v>0.49</v>
      </c>
      <c r="AQ12" s="72">
        <f>IF(head!F$82="S235",235,IF(head!F$82="S275",275,IF(head!F$82="S355",355,IF(head!F$82="S420",420,460))))^0.5*head!$G$70*1000/(S12*3.1416*210000^0.5)</f>
        <v>5.7109905182091669</v>
      </c>
      <c r="AR12" s="72">
        <f t="shared" si="3"/>
        <v>18.15789902649875</v>
      </c>
      <c r="AS12" s="72">
        <f t="shared" si="4"/>
        <v>2.825312833330329E-2</v>
      </c>
      <c r="AT12" s="52">
        <f>IF(head!F$82="S235",235,IF(head!F$82="S275",275,IF(head!F$82="S355",355,IF(head!F$82="S420",420,460))))*AS12*J12/1000</f>
        <v>25.050240316012427</v>
      </c>
      <c r="AU12" s="192" t="s">
        <v>47</v>
      </c>
      <c r="AV12" s="75" t="s">
        <v>47</v>
      </c>
      <c r="AW12" s="75" t="s">
        <v>47</v>
      </c>
      <c r="AX12" s="76" t="s">
        <v>47</v>
      </c>
      <c r="AY12" s="67" t="s">
        <v>47</v>
      </c>
      <c r="AZ12" s="193">
        <v>0</v>
      </c>
      <c r="BA12" s="169" t="str">
        <f t="shared" si="5"/>
        <v>CF CHS 76,1 x 14,2</v>
      </c>
      <c r="BB12" s="145"/>
    </row>
    <row r="13" spans="1:54" s="146" customFormat="1" ht="13.5" customHeight="1">
      <c r="A13" s="147" t="s">
        <v>299</v>
      </c>
      <c r="B13" s="62">
        <f t="shared" si="0"/>
        <v>26.632163745658833</v>
      </c>
      <c r="C13" s="149">
        <v>76.099999999999994</v>
      </c>
      <c r="D13" s="149"/>
      <c r="E13" s="150" t="s">
        <v>830</v>
      </c>
      <c r="F13" s="149"/>
      <c r="G13" s="149"/>
      <c r="H13" s="151">
        <v>21.676967318620992</v>
      </c>
      <c r="I13" s="152">
        <v>22.091176885218847</v>
      </c>
      <c r="J13" s="152">
        <v>2761.3971106523559</v>
      </c>
      <c r="K13" s="152">
        <v>0.23907520093818324</v>
      </c>
      <c r="L13" s="153">
        <v>1392175.6120673264</v>
      </c>
      <c r="M13" s="154">
        <v>36588.058135803592</v>
      </c>
      <c r="N13" s="154">
        <v>55363.291333333313</v>
      </c>
      <c r="O13" s="155">
        <v>22.453424015058371</v>
      </c>
      <c r="P13" s="154">
        <v>1392175.6120673264</v>
      </c>
      <c r="Q13" s="154">
        <v>36588.058135803592</v>
      </c>
      <c r="R13" s="154">
        <v>55363.291333333313</v>
      </c>
      <c r="S13" s="152">
        <v>22.453424015058371</v>
      </c>
      <c r="T13" s="153">
        <v>2784351.2241346529</v>
      </c>
      <c r="U13" s="156"/>
      <c r="V13" s="157">
        <v>1</v>
      </c>
      <c r="W13" s="158">
        <v>1</v>
      </c>
      <c r="X13" s="158">
        <v>1</v>
      </c>
      <c r="Y13" s="158">
        <v>1</v>
      </c>
      <c r="Z13" s="158">
        <v>1</v>
      </c>
      <c r="AA13" s="159">
        <v>1</v>
      </c>
      <c r="AB13" s="158">
        <v>1</v>
      </c>
      <c r="AC13" s="158">
        <v>1</v>
      </c>
      <c r="AD13" s="158">
        <v>1</v>
      </c>
      <c r="AE13" s="160">
        <v>1</v>
      </c>
      <c r="AF13" s="170">
        <v>1</v>
      </c>
      <c r="AG13" s="158">
        <v>1</v>
      </c>
      <c r="AH13" s="158">
        <v>1</v>
      </c>
      <c r="AI13" s="158">
        <v>1</v>
      </c>
      <c r="AJ13" s="158">
        <v>1</v>
      </c>
      <c r="AK13" s="73">
        <f t="shared" si="1"/>
        <v>86.577624064256312</v>
      </c>
      <c r="AL13" s="162"/>
      <c r="AM13" s="163"/>
      <c r="AN13" s="164"/>
      <c r="AO13" s="170" t="s">
        <v>49</v>
      </c>
      <c r="AP13" s="70">
        <f t="shared" si="2"/>
        <v>0.49</v>
      </c>
      <c r="AQ13" s="72">
        <f>IF(head!F$82="S235",235,IF(head!F$82="S275",275,IF(head!F$82="S355",355,IF(head!F$82="S420",420,460))))^0.5*head!$G$70*1000/(S13*3.1416*210000^0.5)</f>
        <v>5.8286914126652469</v>
      </c>
      <c r="AR13" s="72">
        <f t="shared" si="3"/>
        <v>18.865851188141782</v>
      </c>
      <c r="AS13" s="72">
        <f t="shared" si="4"/>
        <v>2.7167472318935428E-2</v>
      </c>
      <c r="AT13" s="52">
        <f>IF(head!F$82="S235",235,IF(head!F$82="S275",275,IF(head!F$82="S355",355,IF(head!F$82="S420",420,460))))*AS13*J13/1000</f>
        <v>26.632163745658833</v>
      </c>
      <c r="AU13" s="192" t="s">
        <v>47</v>
      </c>
      <c r="AV13" s="75" t="s">
        <v>47</v>
      </c>
      <c r="AW13" s="75" t="s">
        <v>47</v>
      </c>
      <c r="AX13" s="76" t="s">
        <v>47</v>
      </c>
      <c r="AY13" s="67" t="s">
        <v>47</v>
      </c>
      <c r="AZ13" s="193">
        <v>0</v>
      </c>
      <c r="BA13" s="169" t="str">
        <f t="shared" si="5"/>
        <v>CF CHS 76,1 x 16</v>
      </c>
      <c r="BB13" s="145"/>
    </row>
    <row r="14" spans="1:54" s="146" customFormat="1" ht="13.5" customHeight="1">
      <c r="A14" s="147" t="s">
        <v>300</v>
      </c>
      <c r="B14" s="62">
        <f t="shared" si="0"/>
        <v>27.987187875855714</v>
      </c>
      <c r="C14" s="149">
        <v>76.099999999999994</v>
      </c>
      <c r="D14" s="149"/>
      <c r="E14" s="150" t="s">
        <v>831</v>
      </c>
      <c r="F14" s="149"/>
      <c r="G14" s="149"/>
      <c r="H14" s="151">
        <v>23.714500641181765</v>
      </c>
      <c r="I14" s="152">
        <v>24.167643965535557</v>
      </c>
      <c r="J14" s="152">
        <v>3020.9554956919446</v>
      </c>
      <c r="K14" s="152">
        <v>0.23907520093818324</v>
      </c>
      <c r="L14" s="153">
        <v>1460635.7583614246</v>
      </c>
      <c r="M14" s="154">
        <v>38387.27354432128</v>
      </c>
      <c r="N14" s="154">
        <v>59157.493333333317</v>
      </c>
      <c r="O14" s="155">
        <v>21.988661851054054</v>
      </c>
      <c r="P14" s="154">
        <v>1460635.7583614246</v>
      </c>
      <c r="Q14" s="154">
        <v>38387.27354432128</v>
      </c>
      <c r="R14" s="154">
        <v>59157.493333333317</v>
      </c>
      <c r="S14" s="152">
        <v>21.988661851054054</v>
      </c>
      <c r="T14" s="153">
        <v>2921271.5167228491</v>
      </c>
      <c r="U14" s="156"/>
      <c r="V14" s="157">
        <v>1</v>
      </c>
      <c r="W14" s="158">
        <v>1</v>
      </c>
      <c r="X14" s="158">
        <v>1</v>
      </c>
      <c r="Y14" s="158">
        <v>1</v>
      </c>
      <c r="Z14" s="158">
        <v>1</v>
      </c>
      <c r="AA14" s="159">
        <v>1</v>
      </c>
      <c r="AB14" s="158">
        <v>1</v>
      </c>
      <c r="AC14" s="158">
        <v>1</v>
      </c>
      <c r="AD14" s="158">
        <v>1</v>
      </c>
      <c r="AE14" s="160">
        <v>1</v>
      </c>
      <c r="AF14" s="170">
        <v>1</v>
      </c>
      <c r="AG14" s="158">
        <v>1</v>
      </c>
      <c r="AH14" s="158">
        <v>1</v>
      </c>
      <c r="AI14" s="158">
        <v>1</v>
      </c>
      <c r="AJ14" s="158">
        <v>1</v>
      </c>
      <c r="AK14" s="73">
        <f t="shared" si="1"/>
        <v>79.138935108153092</v>
      </c>
      <c r="AL14" s="162"/>
      <c r="AM14" s="163"/>
      <c r="AN14" s="164"/>
      <c r="AO14" s="170" t="s">
        <v>49</v>
      </c>
      <c r="AP14" s="70">
        <f t="shared" si="2"/>
        <v>0.49</v>
      </c>
      <c r="AQ14" s="72">
        <f>IF(head!F$82="S235",235,IF(head!F$82="S275",275,IF(head!F$82="S355",355,IF(head!F$82="S420",420,460))))^0.5*head!$G$70*1000/(S14*3.1416*210000^0.5)</f>
        <v>5.9518892340066945</v>
      </c>
      <c r="AR14" s="72">
        <f t="shared" si="3"/>
        <v>19.621705589274036</v>
      </c>
      <c r="AS14" s="72">
        <f t="shared" si="4"/>
        <v>2.6096759471795832E-2</v>
      </c>
      <c r="AT14" s="52">
        <f>IF(head!F$82="S235",235,IF(head!F$82="S275",275,IF(head!F$82="S355",355,IF(head!F$82="S420",420,460))))*AS14*J14/1000</f>
        <v>27.987187875855714</v>
      </c>
      <c r="AU14" s="192" t="s">
        <v>47</v>
      </c>
      <c r="AV14" s="75" t="s">
        <v>47</v>
      </c>
      <c r="AW14" s="75" t="s">
        <v>47</v>
      </c>
      <c r="AX14" s="76" t="s">
        <v>47</v>
      </c>
      <c r="AY14" s="67" t="s">
        <v>47</v>
      </c>
      <c r="AZ14" s="193">
        <v>0</v>
      </c>
      <c r="BA14" s="169" t="str">
        <f t="shared" si="5"/>
        <v>CF CHS 76,1 x 17,5</v>
      </c>
      <c r="BB14" s="145"/>
    </row>
    <row r="15" spans="1:54" s="146" customFormat="1" ht="13.5" customHeight="1">
      <c r="A15" s="147" t="s">
        <v>301</v>
      </c>
      <c r="B15" s="62">
        <f t="shared" si="0"/>
        <v>28.897775884485661</v>
      </c>
      <c r="C15" s="149">
        <v>76.099999999999994</v>
      </c>
      <c r="D15" s="149"/>
      <c r="E15" s="150" t="s">
        <v>832</v>
      </c>
      <c r="F15" s="149"/>
      <c r="G15" s="149"/>
      <c r="H15" s="151">
        <v>25.290370640112211</v>
      </c>
      <c r="I15" s="152">
        <v>25.773626130050662</v>
      </c>
      <c r="J15" s="152">
        <v>3221.7032662563329</v>
      </c>
      <c r="K15" s="152">
        <v>0.23907520093818324</v>
      </c>
      <c r="L15" s="153">
        <v>1506230.8466855742</v>
      </c>
      <c r="M15" s="154">
        <v>39585.567587005899</v>
      </c>
      <c r="N15" s="154">
        <v>61880.758333333317</v>
      </c>
      <c r="O15" s="155">
        <v>21.622355329611985</v>
      </c>
      <c r="P15" s="154">
        <v>1506230.8466855742</v>
      </c>
      <c r="Q15" s="154">
        <v>39585.567587005899</v>
      </c>
      <c r="R15" s="154">
        <v>61880.758333333317</v>
      </c>
      <c r="S15" s="152">
        <v>21.622355329611985</v>
      </c>
      <c r="T15" s="153">
        <v>3012461.6933711483</v>
      </c>
      <c r="U15" s="156"/>
      <c r="V15" s="157">
        <v>1</v>
      </c>
      <c r="W15" s="158">
        <v>1</v>
      </c>
      <c r="X15" s="158">
        <v>1</v>
      </c>
      <c r="Y15" s="158">
        <v>1</v>
      </c>
      <c r="Z15" s="158">
        <v>1</v>
      </c>
      <c r="AA15" s="159">
        <v>1</v>
      </c>
      <c r="AB15" s="158">
        <v>1</v>
      </c>
      <c r="AC15" s="158">
        <v>1</v>
      </c>
      <c r="AD15" s="158">
        <v>1</v>
      </c>
      <c r="AE15" s="160">
        <v>1</v>
      </c>
      <c r="AF15" s="170">
        <v>1</v>
      </c>
      <c r="AG15" s="158">
        <v>1</v>
      </c>
      <c r="AH15" s="158">
        <v>1</v>
      </c>
      <c r="AI15" s="158">
        <v>1</v>
      </c>
      <c r="AJ15" s="158">
        <v>1</v>
      </c>
      <c r="AK15" s="73">
        <f t="shared" si="1"/>
        <v>74.207703559239391</v>
      </c>
      <c r="AL15" s="162"/>
      <c r="AM15" s="163"/>
      <c r="AN15" s="164"/>
      <c r="AO15" s="170" t="s">
        <v>49</v>
      </c>
      <c r="AP15" s="70">
        <f t="shared" si="2"/>
        <v>0.49</v>
      </c>
      <c r="AQ15" s="72">
        <f>IF(head!F$82="S235",235,IF(head!F$82="S275",275,IF(head!F$82="S355",355,IF(head!F$82="S420",420,460))))^0.5*head!$G$70*1000/(S15*3.1416*210000^0.5)</f>
        <v>6.0527207950499866</v>
      </c>
      <c r="AR15" s="72">
        <f t="shared" si="3"/>
        <v>20.251631106202517</v>
      </c>
      <c r="AS15" s="72">
        <f t="shared" si="4"/>
        <v>2.5266816606822701E-2</v>
      </c>
      <c r="AT15" s="52">
        <f>IF(head!F$82="S235",235,IF(head!F$82="S275",275,IF(head!F$82="S355",355,IF(head!F$82="S420",420,460))))*AS15*J15/1000</f>
        <v>28.897775884485661</v>
      </c>
      <c r="AU15" s="192" t="s">
        <v>47</v>
      </c>
      <c r="AV15" s="75" t="s">
        <v>47</v>
      </c>
      <c r="AW15" s="75" t="s">
        <v>47</v>
      </c>
      <c r="AX15" s="76" t="s">
        <v>47</v>
      </c>
      <c r="AY15" s="67" t="s">
        <v>47</v>
      </c>
      <c r="AZ15" s="193">
        <v>0</v>
      </c>
      <c r="BA15" s="169" t="str">
        <f t="shared" si="5"/>
        <v>CF CHS 76,1 x 20</v>
      </c>
      <c r="BB15" s="145"/>
    </row>
    <row r="16" spans="1:54" s="146" customFormat="1" ht="13.5" customHeight="1">
      <c r="A16" s="147" t="s">
        <v>302</v>
      </c>
      <c r="B16" s="62">
        <f t="shared" si="0"/>
        <v>30.044833791174618</v>
      </c>
      <c r="C16" s="149">
        <v>76.099999999999994</v>
      </c>
      <c r="D16" s="149"/>
      <c r="E16" s="150" t="s">
        <v>833</v>
      </c>
      <c r="F16" s="149"/>
      <c r="G16" s="149"/>
      <c r="H16" s="151">
        <v>27.670205615022823</v>
      </c>
      <c r="I16" s="152">
        <v>28.198935658621984</v>
      </c>
      <c r="J16" s="152">
        <v>3524.866957327748</v>
      </c>
      <c r="K16" s="152">
        <v>0.23907520093818324</v>
      </c>
      <c r="L16" s="153">
        <v>1562930.4149628195</v>
      </c>
      <c r="M16" s="154">
        <v>41075.700787459122</v>
      </c>
      <c r="N16" s="154">
        <v>65610.866666666654</v>
      </c>
      <c r="O16" s="155">
        <v>21.057095003822344</v>
      </c>
      <c r="P16" s="154">
        <v>1562930.4149628195</v>
      </c>
      <c r="Q16" s="154">
        <v>41075.700787459122</v>
      </c>
      <c r="R16" s="154">
        <v>65610.866666666654</v>
      </c>
      <c r="S16" s="152">
        <v>21.057095003822344</v>
      </c>
      <c r="T16" s="153">
        <v>3125860.8299256391</v>
      </c>
      <c r="U16" s="156"/>
      <c r="V16" s="157">
        <v>1</v>
      </c>
      <c r="W16" s="158">
        <v>1</v>
      </c>
      <c r="X16" s="158">
        <v>1</v>
      </c>
      <c r="Y16" s="158">
        <v>1</v>
      </c>
      <c r="Z16" s="158">
        <v>1</v>
      </c>
      <c r="AA16" s="159">
        <v>1</v>
      </c>
      <c r="AB16" s="158">
        <v>1</v>
      </c>
      <c r="AC16" s="158">
        <v>1</v>
      </c>
      <c r="AD16" s="158">
        <v>1</v>
      </c>
      <c r="AE16" s="160">
        <v>1</v>
      </c>
      <c r="AF16" s="170">
        <v>1</v>
      </c>
      <c r="AG16" s="158">
        <v>1</v>
      </c>
      <c r="AH16" s="158">
        <v>1</v>
      </c>
      <c r="AI16" s="158">
        <v>1</v>
      </c>
      <c r="AJ16" s="158">
        <v>1</v>
      </c>
      <c r="AK16" s="73">
        <f t="shared" si="1"/>
        <v>67.82531194295899</v>
      </c>
      <c r="AL16" s="162"/>
      <c r="AM16" s="163"/>
      <c r="AN16" s="164"/>
      <c r="AO16" s="170" t="s">
        <v>49</v>
      </c>
      <c r="AP16" s="70">
        <f t="shared" si="2"/>
        <v>0.49</v>
      </c>
      <c r="AQ16" s="72">
        <f>IF(head!F$82="S235",235,IF(head!F$82="S275",275,IF(head!F$82="S355",355,IF(head!F$82="S420",420,460))))^0.5*head!$G$70*1000/(S16*3.1416*210000^0.5)</f>
        <v>6.2152010862726188</v>
      </c>
      <c r="AR16" s="72">
        <f t="shared" si="3"/>
        <v>21.288086537538963</v>
      </c>
      <c r="AS16" s="72">
        <f t="shared" si="4"/>
        <v>2.4010362844216062E-2</v>
      </c>
      <c r="AT16" s="52">
        <f>IF(head!F$82="S235",235,IF(head!F$82="S275",275,IF(head!F$82="S355",355,IF(head!F$82="S420",420,460))))*AS16*J16/1000</f>
        <v>30.044833791174618</v>
      </c>
      <c r="AU16" s="192" t="s">
        <v>47</v>
      </c>
      <c r="AV16" s="75" t="s">
        <v>47</v>
      </c>
      <c r="AW16" s="75" t="s">
        <v>47</v>
      </c>
      <c r="AX16" s="76" t="s">
        <v>47</v>
      </c>
      <c r="AY16" s="67" t="s">
        <v>47</v>
      </c>
      <c r="AZ16" s="193">
        <v>0</v>
      </c>
      <c r="BA16" s="169" t="str">
        <f t="shared" si="5"/>
        <v>CF CHS 88,9 x 5</v>
      </c>
      <c r="BB16" s="145"/>
    </row>
    <row r="17" spans="1:54" s="146" customFormat="1" ht="13.5" customHeight="1">
      <c r="A17" s="147" t="s">
        <v>303</v>
      </c>
      <c r="B17" s="62">
        <f t="shared" si="0"/>
        <v>21.702875607063604</v>
      </c>
      <c r="C17" s="149">
        <v>88.9</v>
      </c>
      <c r="D17" s="149"/>
      <c r="E17" s="150" t="s">
        <v>822</v>
      </c>
      <c r="F17" s="149"/>
      <c r="G17" s="149"/>
      <c r="H17" s="151">
        <v>10.345500227720207</v>
      </c>
      <c r="I17" s="152">
        <v>10.543184945447344</v>
      </c>
      <c r="J17" s="152">
        <v>1317.8981181809181</v>
      </c>
      <c r="K17" s="152">
        <v>0.27928758690413263</v>
      </c>
      <c r="L17" s="153">
        <v>1163738.6331793533</v>
      </c>
      <c r="M17" s="154">
        <v>26180.84664070536</v>
      </c>
      <c r="N17" s="154">
        <v>35237.716666666674</v>
      </c>
      <c r="O17" s="155">
        <v>29.715757604341846</v>
      </c>
      <c r="P17" s="154">
        <v>1163738.6331793533</v>
      </c>
      <c r="Q17" s="154">
        <v>26180.84664070536</v>
      </c>
      <c r="R17" s="154">
        <v>35237.716666666674</v>
      </c>
      <c r="S17" s="152">
        <v>29.715757604341846</v>
      </c>
      <c r="T17" s="153">
        <v>2327477.2663587066</v>
      </c>
      <c r="U17" s="156"/>
      <c r="V17" s="157">
        <v>1</v>
      </c>
      <c r="W17" s="158">
        <v>1</v>
      </c>
      <c r="X17" s="158">
        <v>1</v>
      </c>
      <c r="Y17" s="158">
        <v>1</v>
      </c>
      <c r="Z17" s="158">
        <v>1</v>
      </c>
      <c r="AA17" s="159">
        <v>1</v>
      </c>
      <c r="AB17" s="158">
        <v>1</v>
      </c>
      <c r="AC17" s="158">
        <v>1</v>
      </c>
      <c r="AD17" s="158">
        <v>1</v>
      </c>
      <c r="AE17" s="160">
        <v>1</v>
      </c>
      <c r="AF17" s="170">
        <v>1</v>
      </c>
      <c r="AG17" s="158">
        <v>1</v>
      </c>
      <c r="AH17" s="158">
        <v>1</v>
      </c>
      <c r="AI17" s="158">
        <v>1</v>
      </c>
      <c r="AJ17" s="158">
        <v>1</v>
      </c>
      <c r="AK17" s="73">
        <f t="shared" si="1"/>
        <v>211.91895113230041</v>
      </c>
      <c r="AL17" s="162"/>
      <c r="AM17" s="163"/>
      <c r="AN17" s="164"/>
      <c r="AO17" s="170" t="s">
        <v>49</v>
      </c>
      <c r="AP17" s="70">
        <f t="shared" si="2"/>
        <v>0.49</v>
      </c>
      <c r="AQ17" s="72">
        <f>IF(head!F$82="S235",235,IF(head!F$82="S275",275,IF(head!F$82="S355",355,IF(head!F$82="S420",420,460))))^0.5*head!$G$70*1000/(S17*3.1416*210000^0.5)</f>
        <v>4.4041979842499455</v>
      </c>
      <c r="AR17" s="72">
        <f t="shared" si="3"/>
        <v>11.228508448376878</v>
      </c>
      <c r="AS17" s="72">
        <f t="shared" si="4"/>
        <v>4.6388154001882745E-2</v>
      </c>
      <c r="AT17" s="52">
        <f>IF(head!F$82="S235",235,IF(head!F$82="S275",275,IF(head!F$82="S355",355,IF(head!F$82="S420",420,460))))*AS17*J17/1000</f>
        <v>21.702875607063604</v>
      </c>
      <c r="AU17" s="192" t="s">
        <v>47</v>
      </c>
      <c r="AV17" s="75" t="s">
        <v>47</v>
      </c>
      <c r="AW17" s="75" t="s">
        <v>47</v>
      </c>
      <c r="AX17" s="76" t="s">
        <v>47</v>
      </c>
      <c r="AY17" s="67" t="s">
        <v>47</v>
      </c>
      <c r="AZ17" s="193">
        <v>0</v>
      </c>
      <c r="BA17" s="169" t="str">
        <f t="shared" si="5"/>
        <v>CF CHS 88,9 x 5,6</v>
      </c>
      <c r="BB17" s="145"/>
    </row>
    <row r="18" spans="1:54" s="146" customFormat="1" ht="13.5" customHeight="1">
      <c r="A18" s="147" t="s">
        <v>304</v>
      </c>
      <c r="B18" s="62">
        <f t="shared" si="0"/>
        <v>23.82903181641699</v>
      </c>
      <c r="C18" s="149">
        <v>88.9</v>
      </c>
      <c r="D18" s="149"/>
      <c r="E18" s="150" t="s">
        <v>823</v>
      </c>
      <c r="F18" s="149"/>
      <c r="G18" s="149"/>
      <c r="H18" s="151">
        <v>11.504097607215549</v>
      </c>
      <c r="I18" s="152">
        <v>11.723921128372533</v>
      </c>
      <c r="J18" s="152">
        <v>1465.4901410465668</v>
      </c>
      <c r="K18" s="152">
        <v>0.27928758690413263</v>
      </c>
      <c r="L18" s="153">
        <v>1276854.0819537293</v>
      </c>
      <c r="M18" s="154">
        <v>28725.626140691322</v>
      </c>
      <c r="N18" s="154">
        <v>38916.322666666689</v>
      </c>
      <c r="O18" s="155">
        <v>29.517473638507752</v>
      </c>
      <c r="P18" s="154">
        <v>1276854.0819537293</v>
      </c>
      <c r="Q18" s="154">
        <v>28725.626140691322</v>
      </c>
      <c r="R18" s="154">
        <v>38916.322666666689</v>
      </c>
      <c r="S18" s="152">
        <v>29.517473638507752</v>
      </c>
      <c r="T18" s="153">
        <v>2553708.1639074585</v>
      </c>
      <c r="U18" s="156"/>
      <c r="V18" s="157">
        <v>1</v>
      </c>
      <c r="W18" s="158">
        <v>1</v>
      </c>
      <c r="X18" s="158">
        <v>1</v>
      </c>
      <c r="Y18" s="158">
        <v>1</v>
      </c>
      <c r="Z18" s="158">
        <v>1</v>
      </c>
      <c r="AA18" s="159">
        <v>1</v>
      </c>
      <c r="AB18" s="158">
        <v>1</v>
      </c>
      <c r="AC18" s="158">
        <v>1</v>
      </c>
      <c r="AD18" s="158">
        <v>1</v>
      </c>
      <c r="AE18" s="160">
        <v>1</v>
      </c>
      <c r="AF18" s="170">
        <v>1</v>
      </c>
      <c r="AG18" s="158">
        <v>1</v>
      </c>
      <c r="AH18" s="158">
        <v>1</v>
      </c>
      <c r="AI18" s="158">
        <v>1</v>
      </c>
      <c r="AJ18" s="158">
        <v>1</v>
      </c>
      <c r="AK18" s="73">
        <f t="shared" si="1"/>
        <v>190.57623049219688</v>
      </c>
      <c r="AL18" s="162"/>
      <c r="AM18" s="163"/>
      <c r="AN18" s="164"/>
      <c r="AO18" s="170" t="s">
        <v>49</v>
      </c>
      <c r="AP18" s="70">
        <f t="shared" si="2"/>
        <v>0.49</v>
      </c>
      <c r="AQ18" s="72">
        <f>IF(head!F$82="S235",235,IF(head!F$82="S275",275,IF(head!F$82="S355",355,IF(head!F$82="S420",420,460))))^0.5*head!$G$70*1000/(S18*3.1416*210000^0.5)</f>
        <v>4.4337832344421013</v>
      </c>
      <c r="AR18" s="72">
        <f t="shared" si="3"/>
        <v>11.366493777448245</v>
      </c>
      <c r="AS18" s="72">
        <f t="shared" si="4"/>
        <v>4.5803128527187244E-2</v>
      </c>
      <c r="AT18" s="52">
        <f>IF(head!F$82="S235",235,IF(head!F$82="S275",275,IF(head!F$82="S355",355,IF(head!F$82="S420",420,460))))*AS18*J18/1000</f>
        <v>23.82903181641699</v>
      </c>
      <c r="AU18" s="192" t="s">
        <v>47</v>
      </c>
      <c r="AV18" s="75" t="s">
        <v>47</v>
      </c>
      <c r="AW18" s="75" t="s">
        <v>47</v>
      </c>
      <c r="AX18" s="76" t="s">
        <v>47</v>
      </c>
      <c r="AY18" s="67" t="s">
        <v>47</v>
      </c>
      <c r="AZ18" s="193">
        <v>0</v>
      </c>
      <c r="BA18" s="169" t="str">
        <f t="shared" si="5"/>
        <v>CF CHS 88,9 x 6,3</v>
      </c>
      <c r="BB18" s="145"/>
    </row>
    <row r="19" spans="1:54" s="146" customFormat="1" ht="13.5" customHeight="1">
      <c r="A19" s="147" t="s">
        <v>305</v>
      </c>
      <c r="B19" s="62">
        <f t="shared" si="0"/>
        <v>26.192391457590659</v>
      </c>
      <c r="C19" s="149">
        <v>88.9</v>
      </c>
      <c r="D19" s="149"/>
      <c r="E19" s="150" t="s">
        <v>824</v>
      </c>
      <c r="F19" s="149"/>
      <c r="G19" s="149"/>
      <c r="H19" s="151">
        <v>12.83335258283919</v>
      </c>
      <c r="I19" s="152">
        <v>13.078575880600448</v>
      </c>
      <c r="J19" s="152">
        <v>1634.8219850750561</v>
      </c>
      <c r="K19" s="152">
        <v>0.27928758690413263</v>
      </c>
      <c r="L19" s="153">
        <v>1402360.5164347901</v>
      </c>
      <c r="M19" s="154">
        <v>31549.167973786054</v>
      </c>
      <c r="N19" s="154">
        <v>43066.737000000001</v>
      </c>
      <c r="O19" s="155">
        <v>29.288329587055664</v>
      </c>
      <c r="P19" s="154">
        <v>1402360.5164347901</v>
      </c>
      <c r="Q19" s="154">
        <v>31549.167973786054</v>
      </c>
      <c r="R19" s="154">
        <v>43066.737000000001</v>
      </c>
      <c r="S19" s="152">
        <v>29.288329587055664</v>
      </c>
      <c r="T19" s="153">
        <v>2804721.0328695802</v>
      </c>
      <c r="U19" s="156"/>
      <c r="V19" s="157">
        <v>1</v>
      </c>
      <c r="W19" s="158">
        <v>1</v>
      </c>
      <c r="X19" s="158">
        <v>1</v>
      </c>
      <c r="Y19" s="158">
        <v>1</v>
      </c>
      <c r="Z19" s="158">
        <v>1</v>
      </c>
      <c r="AA19" s="159">
        <v>1</v>
      </c>
      <c r="AB19" s="158">
        <v>1</v>
      </c>
      <c r="AC19" s="158">
        <v>1</v>
      </c>
      <c r="AD19" s="158">
        <v>1</v>
      </c>
      <c r="AE19" s="160">
        <v>1</v>
      </c>
      <c r="AF19" s="170">
        <v>1</v>
      </c>
      <c r="AG19" s="158">
        <v>1</v>
      </c>
      <c r="AH19" s="158">
        <v>1</v>
      </c>
      <c r="AI19" s="158">
        <v>1</v>
      </c>
      <c r="AJ19" s="158">
        <v>1</v>
      </c>
      <c r="AK19" s="73">
        <f t="shared" si="1"/>
        <v>170.83669626042513</v>
      </c>
      <c r="AL19" s="162"/>
      <c r="AM19" s="163"/>
      <c r="AN19" s="164"/>
      <c r="AO19" s="170" t="s">
        <v>49</v>
      </c>
      <c r="AP19" s="70">
        <f t="shared" si="2"/>
        <v>0.49</v>
      </c>
      <c r="AQ19" s="72">
        <f>IF(head!F$82="S235",235,IF(head!F$82="S275",275,IF(head!F$82="S355",355,IF(head!F$82="S420",420,460))))^0.5*head!$G$70*1000/(S19*3.1416*210000^0.5)</f>
        <v>4.4684719677336515</v>
      </c>
      <c r="AR19" s="72">
        <f t="shared" si="3"/>
        <v>11.529396495305472</v>
      </c>
      <c r="AS19" s="72">
        <f t="shared" si="4"/>
        <v>4.513114275508838E-2</v>
      </c>
      <c r="AT19" s="52">
        <f>IF(head!F$82="S235",235,IF(head!F$82="S275",275,IF(head!F$82="S355",355,IF(head!F$82="S420",420,460))))*AS19*J19/1000</f>
        <v>26.192391457590659</v>
      </c>
      <c r="AU19" s="192" t="s">
        <v>47</v>
      </c>
      <c r="AV19" s="75" t="s">
        <v>47</v>
      </c>
      <c r="AW19" s="75" t="s">
        <v>47</v>
      </c>
      <c r="AX19" s="76" t="s">
        <v>47</v>
      </c>
      <c r="AY19" s="67" t="s">
        <v>47</v>
      </c>
      <c r="AZ19" s="193">
        <v>0</v>
      </c>
      <c r="BA19" s="169" t="str">
        <f t="shared" si="5"/>
        <v>CF CHS 88,9 x 7,1</v>
      </c>
      <c r="BB19" s="145"/>
    </row>
    <row r="20" spans="1:54" s="146" customFormat="1" ht="13.5" customHeight="1">
      <c r="A20" s="147" t="s">
        <v>306</v>
      </c>
      <c r="B20" s="62">
        <f t="shared" si="0"/>
        <v>28.744112853545243</v>
      </c>
      <c r="C20" s="149">
        <v>88.9</v>
      </c>
      <c r="D20" s="149"/>
      <c r="E20" s="150" t="s">
        <v>825</v>
      </c>
      <c r="F20" s="149"/>
      <c r="G20" s="149"/>
      <c r="H20" s="151">
        <v>14.322907323612263</v>
      </c>
      <c r="I20" s="152">
        <v>14.596593450815044</v>
      </c>
      <c r="J20" s="152">
        <v>1824.5741813518807</v>
      </c>
      <c r="K20" s="152">
        <v>0.27928758690413263</v>
      </c>
      <c r="L20" s="153">
        <v>1537580.0662138637</v>
      </c>
      <c r="M20" s="154">
        <v>34591.227586363631</v>
      </c>
      <c r="N20" s="154">
        <v>47627.107666666692</v>
      </c>
      <c r="O20" s="155">
        <v>29.02940319744793</v>
      </c>
      <c r="P20" s="154">
        <v>1537580.0662138637</v>
      </c>
      <c r="Q20" s="154">
        <v>34591.227586363631</v>
      </c>
      <c r="R20" s="154">
        <v>47627.107666666692</v>
      </c>
      <c r="S20" s="152">
        <v>29.02940319744793</v>
      </c>
      <c r="T20" s="153">
        <v>3075160.1324277273</v>
      </c>
      <c r="U20" s="156"/>
      <c r="V20" s="157">
        <v>1</v>
      </c>
      <c r="W20" s="158">
        <v>1</v>
      </c>
      <c r="X20" s="158">
        <v>1</v>
      </c>
      <c r="Y20" s="158">
        <v>1</v>
      </c>
      <c r="Z20" s="158">
        <v>1</v>
      </c>
      <c r="AA20" s="159">
        <v>1</v>
      </c>
      <c r="AB20" s="158">
        <v>1</v>
      </c>
      <c r="AC20" s="158">
        <v>1</v>
      </c>
      <c r="AD20" s="158">
        <v>1</v>
      </c>
      <c r="AE20" s="160">
        <v>1</v>
      </c>
      <c r="AF20" s="170">
        <v>1</v>
      </c>
      <c r="AG20" s="158">
        <v>1</v>
      </c>
      <c r="AH20" s="158">
        <v>1</v>
      </c>
      <c r="AI20" s="158">
        <v>1</v>
      </c>
      <c r="AJ20" s="158">
        <v>1</v>
      </c>
      <c r="AK20" s="73">
        <f t="shared" si="1"/>
        <v>153.07000929784078</v>
      </c>
      <c r="AL20" s="162"/>
      <c r="AM20" s="163"/>
      <c r="AN20" s="164"/>
      <c r="AO20" s="170" t="s">
        <v>49</v>
      </c>
      <c r="AP20" s="70">
        <f t="shared" si="2"/>
        <v>0.49</v>
      </c>
      <c r="AQ20" s="72">
        <f>IF(head!F$82="S235",235,IF(head!F$82="S275",275,IF(head!F$82="S355",355,IF(head!F$82="S420",420,460))))^0.5*head!$G$70*1000/(S20*3.1416*210000^0.5)</f>
        <v>4.5083282922264107</v>
      </c>
      <c r="AR20" s="72">
        <f t="shared" si="3"/>
        <v>11.718052426840023</v>
      </c>
      <c r="AS20" s="72">
        <f t="shared" si="4"/>
        <v>4.4377111552584302E-2</v>
      </c>
      <c r="AT20" s="52">
        <f>IF(head!F$82="S235",235,IF(head!F$82="S275",275,IF(head!F$82="S355",355,IF(head!F$82="S420",420,460))))*AS20*J20/1000</f>
        <v>28.744112853545243</v>
      </c>
      <c r="AU20" s="192" t="s">
        <v>47</v>
      </c>
      <c r="AV20" s="75" t="s">
        <v>47</v>
      </c>
      <c r="AW20" s="75" t="s">
        <v>47</v>
      </c>
      <c r="AX20" s="76" t="s">
        <v>47</v>
      </c>
      <c r="AY20" s="67" t="s">
        <v>47</v>
      </c>
      <c r="AZ20" s="193">
        <v>0</v>
      </c>
      <c r="BA20" s="169" t="str">
        <f t="shared" si="5"/>
        <v>CF CHS 88,9 x 8</v>
      </c>
      <c r="BB20" s="145"/>
    </row>
    <row r="21" spans="1:54" s="146" customFormat="1" ht="13.5" customHeight="1">
      <c r="A21" s="147" t="s">
        <v>307</v>
      </c>
      <c r="B21" s="62">
        <f t="shared" si="0"/>
        <v>31.431987526665683</v>
      </c>
      <c r="C21" s="149">
        <v>88.9</v>
      </c>
      <c r="D21" s="149"/>
      <c r="E21" s="150" t="s">
        <v>826</v>
      </c>
      <c r="F21" s="149"/>
      <c r="G21" s="149"/>
      <c r="H21" s="151">
        <v>15.960924308416018</v>
      </c>
      <c r="I21" s="152">
        <v>16.265910123226515</v>
      </c>
      <c r="J21" s="152">
        <v>2033.2387654033143</v>
      </c>
      <c r="K21" s="152">
        <v>0.27928758690413263</v>
      </c>
      <c r="L21" s="153">
        <v>1679661.0856481346</v>
      </c>
      <c r="M21" s="154">
        <v>37787.650970711678</v>
      </c>
      <c r="N21" s="154">
        <v>52529.146666666682</v>
      </c>
      <c r="O21" s="155">
        <v>28.74197714145636</v>
      </c>
      <c r="P21" s="154">
        <v>1679661.0856481346</v>
      </c>
      <c r="Q21" s="154">
        <v>37787.650970711678</v>
      </c>
      <c r="R21" s="154">
        <v>52529.146666666682</v>
      </c>
      <c r="S21" s="152">
        <v>28.74197714145636</v>
      </c>
      <c r="T21" s="153">
        <v>3359322.1712962692</v>
      </c>
      <c r="U21" s="156"/>
      <c r="V21" s="157">
        <v>1</v>
      </c>
      <c r="W21" s="158">
        <v>1</v>
      </c>
      <c r="X21" s="158">
        <v>1</v>
      </c>
      <c r="Y21" s="158">
        <v>1</v>
      </c>
      <c r="Z21" s="158">
        <v>1</v>
      </c>
      <c r="AA21" s="159">
        <v>1</v>
      </c>
      <c r="AB21" s="158">
        <v>1</v>
      </c>
      <c r="AC21" s="158">
        <v>1</v>
      </c>
      <c r="AD21" s="158">
        <v>1</v>
      </c>
      <c r="AE21" s="160">
        <v>1</v>
      </c>
      <c r="AF21" s="170">
        <v>1</v>
      </c>
      <c r="AG21" s="158">
        <v>1</v>
      </c>
      <c r="AH21" s="158">
        <v>1</v>
      </c>
      <c r="AI21" s="158">
        <v>1</v>
      </c>
      <c r="AJ21" s="158">
        <v>1</v>
      </c>
      <c r="AK21" s="73">
        <f t="shared" si="1"/>
        <v>137.36093943139679</v>
      </c>
      <c r="AL21" s="162"/>
      <c r="AM21" s="163"/>
      <c r="AN21" s="164"/>
      <c r="AO21" s="170" t="s">
        <v>49</v>
      </c>
      <c r="AP21" s="70">
        <f t="shared" si="2"/>
        <v>0.49</v>
      </c>
      <c r="AQ21" s="72">
        <f>IF(head!F$82="S235",235,IF(head!F$82="S275",275,IF(head!F$82="S355",355,IF(head!F$82="S420",420,460))))^0.5*head!$G$70*1000/(S21*3.1416*210000^0.5)</f>
        <v>4.5534125609171969</v>
      </c>
      <c r="AR21" s="72">
        <f t="shared" si="3"/>
        <v>11.933369052383966</v>
      </c>
      <c r="AS21" s="72">
        <f t="shared" si="4"/>
        <v>4.3546685928303422E-2</v>
      </c>
      <c r="AT21" s="52">
        <f>IF(head!F$82="S235",235,IF(head!F$82="S275",275,IF(head!F$82="S355",355,IF(head!F$82="S420",420,460))))*AS21*J21/1000</f>
        <v>31.431987526665683</v>
      </c>
      <c r="AU21" s="192" t="s">
        <v>47</v>
      </c>
      <c r="AV21" s="75" t="s">
        <v>47</v>
      </c>
      <c r="AW21" s="75" t="s">
        <v>47</v>
      </c>
      <c r="AX21" s="76" t="s">
        <v>47</v>
      </c>
      <c r="AY21" s="67" t="s">
        <v>47</v>
      </c>
      <c r="AZ21" s="193">
        <v>0</v>
      </c>
      <c r="BA21" s="169" t="str">
        <f t="shared" si="5"/>
        <v>CF CHS 88,9 x 8,8</v>
      </c>
      <c r="BB21" s="145"/>
    </row>
    <row r="22" spans="1:54" s="146" customFormat="1" ht="13.5" customHeight="1">
      <c r="A22" s="147" t="s">
        <v>308</v>
      </c>
      <c r="B22" s="62">
        <f t="shared" si="0"/>
        <v>33.665525812921011</v>
      </c>
      <c r="C22" s="149">
        <v>88.9</v>
      </c>
      <c r="D22" s="149"/>
      <c r="E22" s="150" t="s">
        <v>827</v>
      </c>
      <c r="F22" s="149"/>
      <c r="G22" s="149"/>
      <c r="H22" s="151">
        <v>17.383399762849628</v>
      </c>
      <c r="I22" s="152">
        <v>17.715566637298984</v>
      </c>
      <c r="J22" s="152">
        <v>2214.4458296623729</v>
      </c>
      <c r="K22" s="152">
        <v>0.27928758690413263</v>
      </c>
      <c r="L22" s="153">
        <v>1797424.1590776425</v>
      </c>
      <c r="M22" s="154">
        <v>40436.988955627501</v>
      </c>
      <c r="N22" s="154">
        <v>56688.045333333335</v>
      </c>
      <c r="O22" s="155">
        <v>28.490020182513039</v>
      </c>
      <c r="P22" s="154">
        <v>1797424.1590776425</v>
      </c>
      <c r="Q22" s="154">
        <v>40436.988955627501</v>
      </c>
      <c r="R22" s="154">
        <v>56688.045333333335</v>
      </c>
      <c r="S22" s="152">
        <v>28.490020182513039</v>
      </c>
      <c r="T22" s="153">
        <v>3594848.318155285</v>
      </c>
      <c r="U22" s="156"/>
      <c r="V22" s="157">
        <v>1</v>
      </c>
      <c r="W22" s="158">
        <v>1</v>
      </c>
      <c r="X22" s="158">
        <v>1</v>
      </c>
      <c r="Y22" s="158">
        <v>1</v>
      </c>
      <c r="Z22" s="158">
        <v>1</v>
      </c>
      <c r="AA22" s="159">
        <v>1</v>
      </c>
      <c r="AB22" s="158">
        <v>1</v>
      </c>
      <c r="AC22" s="158">
        <v>1</v>
      </c>
      <c r="AD22" s="158">
        <v>1</v>
      </c>
      <c r="AE22" s="160">
        <v>1</v>
      </c>
      <c r="AF22" s="170">
        <v>1</v>
      </c>
      <c r="AG22" s="158">
        <v>1</v>
      </c>
      <c r="AH22" s="158">
        <v>1</v>
      </c>
      <c r="AI22" s="158">
        <v>1</v>
      </c>
      <c r="AJ22" s="158">
        <v>1</v>
      </c>
      <c r="AK22" s="73">
        <f t="shared" si="1"/>
        <v>126.12075814323011</v>
      </c>
      <c r="AL22" s="162"/>
      <c r="AM22" s="163"/>
      <c r="AN22" s="164"/>
      <c r="AO22" s="170" t="s">
        <v>49</v>
      </c>
      <c r="AP22" s="70">
        <f t="shared" si="2"/>
        <v>0.49</v>
      </c>
      <c r="AQ22" s="72">
        <f>IF(head!F$82="S235",235,IF(head!F$82="S275",275,IF(head!F$82="S355",355,IF(head!F$82="S420",420,460))))^0.5*head!$G$70*1000/(S22*3.1416*210000^0.5)</f>
        <v>4.5936815384157539</v>
      </c>
      <c r="AR22" s="72">
        <f t="shared" si="3"/>
        <v>12.127407015102724</v>
      </c>
      <c r="AS22" s="72">
        <f t="shared" si="4"/>
        <v>4.2824469132807574E-2</v>
      </c>
      <c r="AT22" s="52">
        <f>IF(head!F$82="S235",235,IF(head!F$82="S275",275,IF(head!F$82="S355",355,IF(head!F$82="S420",420,460))))*AS22*J22/1000</f>
        <v>33.665525812921011</v>
      </c>
      <c r="AU22" s="192" t="s">
        <v>47</v>
      </c>
      <c r="AV22" s="75" t="s">
        <v>47</v>
      </c>
      <c r="AW22" s="75" t="s">
        <v>47</v>
      </c>
      <c r="AX22" s="76" t="s">
        <v>47</v>
      </c>
      <c r="AY22" s="67" t="s">
        <v>47</v>
      </c>
      <c r="AZ22" s="193">
        <v>0</v>
      </c>
      <c r="BA22" s="169" t="str">
        <f t="shared" si="5"/>
        <v>CF CHS 88,9 x 10</v>
      </c>
      <c r="BB22" s="145"/>
    </row>
    <row r="23" spans="1:54" s="146" customFormat="1" ht="13.5" customHeight="1">
      <c r="A23" s="147" t="s">
        <v>309</v>
      </c>
      <c r="B23" s="62">
        <f t="shared" si="0"/>
        <v>36.754751292188146</v>
      </c>
      <c r="C23" s="149">
        <v>88.9</v>
      </c>
      <c r="D23" s="149"/>
      <c r="E23" s="150" t="s">
        <v>828</v>
      </c>
      <c r="F23" s="149"/>
      <c r="G23" s="149"/>
      <c r="H23" s="151">
        <v>19.457925338906421</v>
      </c>
      <c r="I23" s="152">
        <v>19.829732829458774</v>
      </c>
      <c r="J23" s="152">
        <v>2478.7166036823469</v>
      </c>
      <c r="K23" s="152">
        <v>0.27928758690413263</v>
      </c>
      <c r="L23" s="153">
        <v>1959800.3810972027</v>
      </c>
      <c r="M23" s="154">
        <v>44089.997325021432</v>
      </c>
      <c r="N23" s="154">
        <v>62585.433333333349</v>
      </c>
      <c r="O23" s="155">
        <v>28.118521476066274</v>
      </c>
      <c r="P23" s="154">
        <v>1959800.3810972027</v>
      </c>
      <c r="Q23" s="154">
        <v>44089.997325021432</v>
      </c>
      <c r="R23" s="154">
        <v>62585.433333333349</v>
      </c>
      <c r="S23" s="152">
        <v>28.118521476066274</v>
      </c>
      <c r="T23" s="153">
        <v>3919600.7621944053</v>
      </c>
      <c r="U23" s="156"/>
      <c r="V23" s="157">
        <v>1</v>
      </c>
      <c r="W23" s="158">
        <v>1</v>
      </c>
      <c r="X23" s="158">
        <v>1</v>
      </c>
      <c r="Y23" s="158">
        <v>1</v>
      </c>
      <c r="Z23" s="158">
        <v>1</v>
      </c>
      <c r="AA23" s="159">
        <v>1</v>
      </c>
      <c r="AB23" s="158">
        <v>1</v>
      </c>
      <c r="AC23" s="158">
        <v>1</v>
      </c>
      <c r="AD23" s="158">
        <v>1</v>
      </c>
      <c r="AE23" s="160">
        <v>1</v>
      </c>
      <c r="AF23" s="170">
        <v>1</v>
      </c>
      <c r="AG23" s="158">
        <v>1</v>
      </c>
      <c r="AH23" s="158">
        <v>1</v>
      </c>
      <c r="AI23" s="158">
        <v>1</v>
      </c>
      <c r="AJ23" s="158">
        <v>1</v>
      </c>
      <c r="AK23" s="73">
        <f t="shared" si="1"/>
        <v>112.67427122940431</v>
      </c>
      <c r="AL23" s="162"/>
      <c r="AM23" s="163"/>
      <c r="AN23" s="164"/>
      <c r="AO23" s="170" t="s">
        <v>49</v>
      </c>
      <c r="AP23" s="70">
        <f t="shared" si="2"/>
        <v>0.49</v>
      </c>
      <c r="AQ23" s="72">
        <f>IF(head!F$82="S235",235,IF(head!F$82="S275",275,IF(head!F$82="S355",355,IF(head!F$82="S420",420,460))))^0.5*head!$G$70*1000/(S23*3.1416*210000^0.5)</f>
        <v>4.6543727362371747</v>
      </c>
      <c r="AR23" s="72">
        <f t="shared" si="3"/>
        <v>12.422914104292069</v>
      </c>
      <c r="AS23" s="72">
        <f t="shared" si="4"/>
        <v>4.1769402169013876E-2</v>
      </c>
      <c r="AT23" s="52">
        <f>IF(head!F$82="S235",235,IF(head!F$82="S275",275,IF(head!F$82="S355",355,IF(head!F$82="S420",420,460))))*AS23*J23/1000</f>
        <v>36.754751292188146</v>
      </c>
      <c r="AU23" s="192" t="s">
        <v>47</v>
      </c>
      <c r="AV23" s="75" t="s">
        <v>47</v>
      </c>
      <c r="AW23" s="75" t="s">
        <v>47</v>
      </c>
      <c r="AX23" s="76" t="s">
        <v>47</v>
      </c>
      <c r="AY23" s="67" t="s">
        <v>47</v>
      </c>
      <c r="AZ23" s="193">
        <v>0</v>
      </c>
      <c r="BA23" s="169" t="str">
        <f t="shared" si="5"/>
        <v>CF CHS 88,9 x 12,5</v>
      </c>
      <c r="BB23" s="145"/>
    </row>
    <row r="24" spans="1:54" s="146" customFormat="1" ht="13.5" customHeight="1">
      <c r="A24" s="147" t="s">
        <v>310</v>
      </c>
      <c r="B24" s="62">
        <f t="shared" si="0"/>
        <v>42.263401651447509</v>
      </c>
      <c r="C24" s="149">
        <v>88.9</v>
      </c>
      <c r="D24" s="149"/>
      <c r="E24" s="150" t="s">
        <v>829</v>
      </c>
      <c r="F24" s="149"/>
      <c r="G24" s="149"/>
      <c r="H24" s="151">
        <v>23.551734725799282</v>
      </c>
      <c r="I24" s="152">
        <v>24.001767873426019</v>
      </c>
      <c r="J24" s="152">
        <v>3000.2209841782524</v>
      </c>
      <c r="K24" s="152">
        <v>0.27928758690413263</v>
      </c>
      <c r="L24" s="153">
        <v>2247619.3005733681</v>
      </c>
      <c r="M24" s="154">
        <v>50565.11362369782</v>
      </c>
      <c r="N24" s="154">
        <v>73613.041666666686</v>
      </c>
      <c r="O24" s="155">
        <v>27.370627504681</v>
      </c>
      <c r="P24" s="154">
        <v>2247619.3005733681</v>
      </c>
      <c r="Q24" s="154">
        <v>50565.11362369782</v>
      </c>
      <c r="R24" s="154">
        <v>73613.041666666686</v>
      </c>
      <c r="S24" s="152">
        <v>27.370627504681</v>
      </c>
      <c r="T24" s="153">
        <v>4495238.6011467362</v>
      </c>
      <c r="U24" s="156"/>
      <c r="V24" s="157">
        <v>1</v>
      </c>
      <c r="W24" s="158">
        <v>1</v>
      </c>
      <c r="X24" s="158">
        <v>1</v>
      </c>
      <c r="Y24" s="158">
        <v>1</v>
      </c>
      <c r="Z24" s="158">
        <v>1</v>
      </c>
      <c r="AA24" s="159">
        <v>1</v>
      </c>
      <c r="AB24" s="158">
        <v>1</v>
      </c>
      <c r="AC24" s="158">
        <v>1</v>
      </c>
      <c r="AD24" s="158">
        <v>1</v>
      </c>
      <c r="AE24" s="160">
        <v>1</v>
      </c>
      <c r="AF24" s="170">
        <v>1</v>
      </c>
      <c r="AG24" s="158">
        <v>1</v>
      </c>
      <c r="AH24" s="158">
        <v>1</v>
      </c>
      <c r="AI24" s="158">
        <v>1</v>
      </c>
      <c r="AJ24" s="158">
        <v>1</v>
      </c>
      <c r="AK24" s="73">
        <f t="shared" si="1"/>
        <v>93.089005235602102</v>
      </c>
      <c r="AL24" s="162"/>
      <c r="AM24" s="163"/>
      <c r="AN24" s="164"/>
      <c r="AO24" s="170" t="s">
        <v>49</v>
      </c>
      <c r="AP24" s="70">
        <f t="shared" si="2"/>
        <v>0.49</v>
      </c>
      <c r="AQ24" s="72">
        <f>IF(head!F$82="S235",235,IF(head!F$82="S275",275,IF(head!F$82="S355",355,IF(head!F$82="S420",420,460))))^0.5*head!$G$70*1000/(S24*3.1416*210000^0.5)</f>
        <v>4.7815520385537349</v>
      </c>
      <c r="AR24" s="72">
        <f t="shared" si="3"/>
        <v>13.054100198144354</v>
      </c>
      <c r="AS24" s="72">
        <f t="shared" si="4"/>
        <v>3.9681022253261818E-2</v>
      </c>
      <c r="AT24" s="52">
        <f>IF(head!F$82="S235",235,IF(head!F$82="S275",275,IF(head!F$82="S355",355,IF(head!F$82="S420",420,460))))*AS24*J24/1000</f>
        <v>42.263401651447509</v>
      </c>
      <c r="AU24" s="192" t="s">
        <v>47</v>
      </c>
      <c r="AV24" s="75" t="s">
        <v>47</v>
      </c>
      <c r="AW24" s="75" t="s">
        <v>47</v>
      </c>
      <c r="AX24" s="76" t="s">
        <v>47</v>
      </c>
      <c r="AY24" s="67" t="s">
        <v>47</v>
      </c>
      <c r="AZ24" s="193">
        <v>0</v>
      </c>
      <c r="BA24" s="169" t="str">
        <f t="shared" si="5"/>
        <v>CF CHS 88,9 x 16</v>
      </c>
      <c r="BB24" s="145"/>
    </row>
    <row r="25" spans="1:54" s="146" customFormat="1" ht="13.5" customHeight="1">
      <c r="A25" s="147" t="s">
        <v>311</v>
      </c>
      <c r="B25" s="62">
        <f t="shared" si="0"/>
        <v>48.142971907123886</v>
      </c>
      <c r="C25" s="149">
        <v>88.9</v>
      </c>
      <c r="D25" s="149"/>
      <c r="E25" s="150" t="s">
        <v>831</v>
      </c>
      <c r="F25" s="149"/>
      <c r="G25" s="149"/>
      <c r="H25" s="151">
        <v>28.765176318505009</v>
      </c>
      <c r="I25" s="152">
        <v>29.31482936917708</v>
      </c>
      <c r="J25" s="152">
        <v>3664.3536711471352</v>
      </c>
      <c r="K25" s="152">
        <v>0.27928758690413263</v>
      </c>
      <c r="L25" s="153">
        <v>2551494.0416618395</v>
      </c>
      <c r="M25" s="154">
        <v>57401.440757296725</v>
      </c>
      <c r="N25" s="154">
        <v>86395.893333333341</v>
      </c>
      <c r="O25" s="155">
        <v>26.387520724766851</v>
      </c>
      <c r="P25" s="154">
        <v>2551494.0416618395</v>
      </c>
      <c r="Q25" s="154">
        <v>57401.440757296725</v>
      </c>
      <c r="R25" s="154">
        <v>86395.893333333341</v>
      </c>
      <c r="S25" s="152">
        <v>26.387520724766851</v>
      </c>
      <c r="T25" s="153">
        <v>5102988.0833236789</v>
      </c>
      <c r="U25" s="156"/>
      <c r="V25" s="157">
        <v>1</v>
      </c>
      <c r="W25" s="158">
        <v>1</v>
      </c>
      <c r="X25" s="158">
        <v>1</v>
      </c>
      <c r="Y25" s="158">
        <v>1</v>
      </c>
      <c r="Z25" s="158">
        <v>1</v>
      </c>
      <c r="AA25" s="159">
        <v>1</v>
      </c>
      <c r="AB25" s="158">
        <v>1</v>
      </c>
      <c r="AC25" s="158">
        <v>1</v>
      </c>
      <c r="AD25" s="158">
        <v>1</v>
      </c>
      <c r="AE25" s="160">
        <v>1</v>
      </c>
      <c r="AF25" s="170">
        <v>1</v>
      </c>
      <c r="AG25" s="158">
        <v>1</v>
      </c>
      <c r="AH25" s="158">
        <v>1</v>
      </c>
      <c r="AI25" s="158">
        <v>1</v>
      </c>
      <c r="AJ25" s="158">
        <v>1</v>
      </c>
      <c r="AK25" s="73">
        <f t="shared" si="1"/>
        <v>76.217421124828519</v>
      </c>
      <c r="AL25" s="162"/>
      <c r="AM25" s="163"/>
      <c r="AN25" s="164"/>
      <c r="AO25" s="170" t="s">
        <v>49</v>
      </c>
      <c r="AP25" s="70">
        <f t="shared" si="2"/>
        <v>0.49</v>
      </c>
      <c r="AQ25" s="72">
        <f>IF(head!F$82="S235",235,IF(head!F$82="S275",275,IF(head!F$82="S355",355,IF(head!F$82="S420",420,460))))^0.5*head!$G$70*1000/(S25*3.1416*210000^0.5)</f>
        <v>4.9596959527412627</v>
      </c>
      <c r="AR25" s="72">
        <f t="shared" si="3"/>
        <v>13.965417480240641</v>
      </c>
      <c r="AS25" s="72">
        <f t="shared" si="4"/>
        <v>3.7008983723376694E-2</v>
      </c>
      <c r="AT25" s="52">
        <f>IF(head!F$82="S235",235,IF(head!F$82="S275",275,IF(head!F$82="S355",355,IF(head!F$82="S420",420,460))))*AS25*J25/1000</f>
        <v>48.142971907123886</v>
      </c>
      <c r="AU25" s="192" t="s">
        <v>47</v>
      </c>
      <c r="AV25" s="75" t="s">
        <v>47</v>
      </c>
      <c r="AW25" s="75" t="s">
        <v>47</v>
      </c>
      <c r="AX25" s="76" t="s">
        <v>47</v>
      </c>
      <c r="AY25" s="67" t="s">
        <v>47</v>
      </c>
      <c r="AZ25" s="193">
        <v>0</v>
      </c>
      <c r="BA25" s="169" t="str">
        <f t="shared" si="5"/>
        <v>CF CHS 88,9 x 17,5</v>
      </c>
      <c r="BB25" s="145"/>
    </row>
    <row r="26" spans="1:54" s="146" customFormat="1" ht="13.5" customHeight="1">
      <c r="A26" s="147" t="s">
        <v>312</v>
      </c>
      <c r="B26" s="62">
        <f t="shared" si="0"/>
        <v>50.103719405774022</v>
      </c>
      <c r="C26" s="149">
        <v>88.9</v>
      </c>
      <c r="D26" s="149"/>
      <c r="E26" s="150" t="s">
        <v>832</v>
      </c>
      <c r="F26" s="149"/>
      <c r="G26" s="149"/>
      <c r="H26" s="151">
        <v>30.814547162184503</v>
      </c>
      <c r="I26" s="152">
        <v>31.403360165283569</v>
      </c>
      <c r="J26" s="152">
        <v>3925.4200206604464</v>
      </c>
      <c r="K26" s="152">
        <v>0.27928758690413263</v>
      </c>
      <c r="L26" s="153">
        <v>2651724.2662316752</v>
      </c>
      <c r="M26" s="154">
        <v>59656.338947844204</v>
      </c>
      <c r="N26" s="154">
        <v>91000.75833333336</v>
      </c>
      <c r="O26" s="155">
        <v>25.990887826313291</v>
      </c>
      <c r="P26" s="154">
        <v>2651724.2662316752</v>
      </c>
      <c r="Q26" s="154">
        <v>59656.338947844204</v>
      </c>
      <c r="R26" s="154">
        <v>91000.75833333336</v>
      </c>
      <c r="S26" s="152">
        <v>25.990887826313291</v>
      </c>
      <c r="T26" s="153">
        <v>5303448.5324633503</v>
      </c>
      <c r="U26" s="156"/>
      <c r="V26" s="157">
        <v>1</v>
      </c>
      <c r="W26" s="158">
        <v>1</v>
      </c>
      <c r="X26" s="158">
        <v>1</v>
      </c>
      <c r="Y26" s="158">
        <v>1</v>
      </c>
      <c r="Z26" s="158">
        <v>1</v>
      </c>
      <c r="AA26" s="159">
        <v>1</v>
      </c>
      <c r="AB26" s="158">
        <v>1</v>
      </c>
      <c r="AC26" s="158">
        <v>1</v>
      </c>
      <c r="AD26" s="158">
        <v>1</v>
      </c>
      <c r="AE26" s="160">
        <v>1</v>
      </c>
      <c r="AF26" s="170">
        <v>1</v>
      </c>
      <c r="AG26" s="158">
        <v>1</v>
      </c>
      <c r="AH26" s="158">
        <v>1</v>
      </c>
      <c r="AI26" s="158">
        <v>1</v>
      </c>
      <c r="AJ26" s="158">
        <v>1</v>
      </c>
      <c r="AK26" s="73">
        <f t="shared" si="1"/>
        <v>71.148459383753504</v>
      </c>
      <c r="AL26" s="162"/>
      <c r="AM26" s="163"/>
      <c r="AN26" s="164"/>
      <c r="AO26" s="170" t="s">
        <v>49</v>
      </c>
      <c r="AP26" s="70">
        <f t="shared" si="2"/>
        <v>0.49</v>
      </c>
      <c r="AQ26" s="72">
        <f>IF(head!F$82="S235",235,IF(head!F$82="S275",275,IF(head!F$82="S355",355,IF(head!F$82="S420",420,460))))^0.5*head!$G$70*1000/(S26*3.1416*210000^0.5)</f>
        <v>5.0353831933745967</v>
      </c>
      <c r="AR26" s="72">
        <f t="shared" si="3"/>
        <v>14.362210834436452</v>
      </c>
      <c r="AS26" s="72">
        <f t="shared" si="4"/>
        <v>3.5954684344580677E-2</v>
      </c>
      <c r="AT26" s="52">
        <f>IF(head!F$82="S235",235,IF(head!F$82="S275",275,IF(head!F$82="S355",355,IF(head!F$82="S420",420,460))))*AS26*J26/1000</f>
        <v>50.103719405774022</v>
      </c>
      <c r="AU26" s="192" t="s">
        <v>47</v>
      </c>
      <c r="AV26" s="75" t="s">
        <v>47</v>
      </c>
      <c r="AW26" s="75" t="s">
        <v>47</v>
      </c>
      <c r="AX26" s="76" t="s">
        <v>47</v>
      </c>
      <c r="AY26" s="67" t="s">
        <v>47</v>
      </c>
      <c r="AZ26" s="193">
        <v>0</v>
      </c>
      <c r="BA26" s="169" t="str">
        <f t="shared" si="5"/>
        <v>CF CHS 88,9 x 20</v>
      </c>
      <c r="BB26" s="145"/>
    </row>
    <row r="27" spans="1:54" s="146" customFormat="1" ht="13.5" customHeight="1">
      <c r="A27" s="147" t="s">
        <v>313</v>
      </c>
      <c r="B27" s="62">
        <f t="shared" si="0"/>
        <v>52.744046796089158</v>
      </c>
      <c r="C27" s="149">
        <v>88.9</v>
      </c>
      <c r="D27" s="149"/>
      <c r="E27" s="150" t="s">
        <v>833</v>
      </c>
      <c r="F27" s="149"/>
      <c r="G27" s="149"/>
      <c r="H27" s="151">
        <v>33.983550211676864</v>
      </c>
      <c r="I27" s="152">
        <v>34.632917413173871</v>
      </c>
      <c r="J27" s="152">
        <v>4329.1146766467346</v>
      </c>
      <c r="K27" s="152">
        <v>0.27928758690413263</v>
      </c>
      <c r="L27" s="153">
        <v>2785357.7943478557</v>
      </c>
      <c r="M27" s="154">
        <v>62662.71753313511</v>
      </c>
      <c r="N27" s="154">
        <v>97610.866666666698</v>
      </c>
      <c r="O27" s="155">
        <v>25.365355309949834</v>
      </c>
      <c r="P27" s="154">
        <v>2785357.7943478557</v>
      </c>
      <c r="Q27" s="154">
        <v>62662.71753313511</v>
      </c>
      <c r="R27" s="154">
        <v>97610.866666666698</v>
      </c>
      <c r="S27" s="152">
        <v>25.365355309949834</v>
      </c>
      <c r="T27" s="153">
        <v>5570715.5886957115</v>
      </c>
      <c r="U27" s="156"/>
      <c r="V27" s="157">
        <v>1</v>
      </c>
      <c r="W27" s="158">
        <v>1</v>
      </c>
      <c r="X27" s="158">
        <v>1</v>
      </c>
      <c r="Y27" s="158">
        <v>1</v>
      </c>
      <c r="Z27" s="158">
        <v>1</v>
      </c>
      <c r="AA27" s="159">
        <v>1</v>
      </c>
      <c r="AB27" s="158">
        <v>1</v>
      </c>
      <c r="AC27" s="158">
        <v>1</v>
      </c>
      <c r="AD27" s="158">
        <v>1</v>
      </c>
      <c r="AE27" s="160">
        <v>1</v>
      </c>
      <c r="AF27" s="170">
        <v>1</v>
      </c>
      <c r="AG27" s="158">
        <v>1</v>
      </c>
      <c r="AH27" s="158">
        <v>1</v>
      </c>
      <c r="AI27" s="158">
        <v>1</v>
      </c>
      <c r="AJ27" s="158">
        <v>1</v>
      </c>
      <c r="AK27" s="73">
        <f t="shared" si="1"/>
        <v>64.513788098693766</v>
      </c>
      <c r="AL27" s="162"/>
      <c r="AM27" s="163"/>
      <c r="AN27" s="164"/>
      <c r="AO27" s="170" t="s">
        <v>49</v>
      </c>
      <c r="AP27" s="70">
        <f t="shared" si="2"/>
        <v>0.49</v>
      </c>
      <c r="AQ27" s="72">
        <f>IF(head!F$82="S235",235,IF(head!F$82="S275",275,IF(head!F$82="S355",355,IF(head!F$82="S420",420,460))))^0.5*head!$G$70*1000/(S27*3.1416*210000^0.5)</f>
        <v>5.1595602798501146</v>
      </c>
      <c r="AR27" s="72">
        <f t="shared" si="3"/>
        <v>15.025623409266775</v>
      </c>
      <c r="AS27" s="72">
        <f t="shared" si="4"/>
        <v>3.4319899287670784E-2</v>
      </c>
      <c r="AT27" s="52">
        <f>IF(head!F$82="S235",235,IF(head!F$82="S275",275,IF(head!F$82="S355",355,IF(head!F$82="S420",420,460))))*AS27*J27/1000</f>
        <v>52.744046796089158</v>
      </c>
      <c r="AU27" s="192" t="s">
        <v>47</v>
      </c>
      <c r="AV27" s="75" t="s">
        <v>47</v>
      </c>
      <c r="AW27" s="75" t="s">
        <v>47</v>
      </c>
      <c r="AX27" s="76" t="s">
        <v>47</v>
      </c>
      <c r="AY27" s="67" t="s">
        <v>47</v>
      </c>
      <c r="AZ27" s="193">
        <v>0</v>
      </c>
      <c r="BA27" s="169" t="str">
        <f t="shared" si="5"/>
        <v>CF CHS 101,6 x 5</v>
      </c>
      <c r="BB27" s="145"/>
    </row>
    <row r="28" spans="1:54" s="146" customFormat="1" ht="13.5" customHeight="1">
      <c r="A28" s="147" t="s">
        <v>314</v>
      </c>
      <c r="B28" s="62">
        <f t="shared" si="0"/>
        <v>32.575273755111787</v>
      </c>
      <c r="C28" s="149">
        <v>101.6</v>
      </c>
      <c r="D28" s="149"/>
      <c r="E28" s="150" t="s">
        <v>822</v>
      </c>
      <c r="F28" s="149"/>
      <c r="G28" s="149"/>
      <c r="H28" s="151">
        <v>11.911505625718378</v>
      </c>
      <c r="I28" s="152">
        <v>12.139114013470959</v>
      </c>
      <c r="J28" s="152">
        <v>1517.38925168387</v>
      </c>
      <c r="K28" s="152">
        <v>0.31918581360472298</v>
      </c>
      <c r="L28" s="153">
        <v>1774692.947091904</v>
      </c>
      <c r="M28" s="154">
        <v>34934.900533305197</v>
      </c>
      <c r="N28" s="154">
        <v>46699.466666666674</v>
      </c>
      <c r="O28" s="155">
        <v>34.198976592874828</v>
      </c>
      <c r="P28" s="154">
        <v>1774692.947091904</v>
      </c>
      <c r="Q28" s="154">
        <v>34934.900533305197</v>
      </c>
      <c r="R28" s="154">
        <v>46699.466666666674</v>
      </c>
      <c r="S28" s="152">
        <v>34.198976592874828</v>
      </c>
      <c r="T28" s="153">
        <v>3549385.894183808</v>
      </c>
      <c r="U28" s="156"/>
      <c r="V28" s="157">
        <v>1</v>
      </c>
      <c r="W28" s="158">
        <v>1</v>
      </c>
      <c r="X28" s="158">
        <v>1</v>
      </c>
      <c r="Y28" s="158">
        <v>1</v>
      </c>
      <c r="Z28" s="158">
        <v>1</v>
      </c>
      <c r="AA28" s="159">
        <v>1</v>
      </c>
      <c r="AB28" s="158">
        <v>1</v>
      </c>
      <c r="AC28" s="158">
        <v>1</v>
      </c>
      <c r="AD28" s="158">
        <v>2</v>
      </c>
      <c r="AE28" s="160">
        <v>2</v>
      </c>
      <c r="AF28" s="170">
        <v>1</v>
      </c>
      <c r="AG28" s="158">
        <v>1</v>
      </c>
      <c r="AH28" s="158">
        <v>1</v>
      </c>
      <c r="AI28" s="158">
        <v>2</v>
      </c>
      <c r="AJ28" s="158">
        <v>2</v>
      </c>
      <c r="AK28" s="73">
        <f t="shared" si="1"/>
        <v>210.351966873706</v>
      </c>
      <c r="AL28" s="162"/>
      <c r="AM28" s="163"/>
      <c r="AN28" s="164"/>
      <c r="AO28" s="170" t="s">
        <v>49</v>
      </c>
      <c r="AP28" s="70">
        <f t="shared" si="2"/>
        <v>0.49</v>
      </c>
      <c r="AQ28" s="72">
        <f>IF(head!F$82="S235",235,IF(head!F$82="S275",275,IF(head!F$82="S355",355,IF(head!F$82="S420",420,460))))^0.5*head!$G$70*1000/(S28*3.1416*210000^0.5)</f>
        <v>3.8268419929492645</v>
      </c>
      <c r="AR28" s="72">
        <f t="shared" si="3"/>
        <v>8.7109361077725183</v>
      </c>
      <c r="AS28" s="72">
        <f t="shared" si="4"/>
        <v>6.0473167593359904E-2</v>
      </c>
      <c r="AT28" s="52">
        <f>IF(head!F$82="S235",235,IF(head!F$82="S275",275,IF(head!F$82="S355",355,IF(head!F$82="S420",420,460))))*AS28*J28/1000</f>
        <v>32.575273755111787</v>
      </c>
      <c r="AU28" s="192" t="s">
        <v>47</v>
      </c>
      <c r="AV28" s="75" t="s">
        <v>47</v>
      </c>
      <c r="AW28" s="75" t="s">
        <v>47</v>
      </c>
      <c r="AX28" s="76" t="s">
        <v>47</v>
      </c>
      <c r="AY28" s="67" t="s">
        <v>47</v>
      </c>
      <c r="AZ28" s="193">
        <v>0</v>
      </c>
      <c r="BA28" s="169" t="str">
        <f t="shared" si="5"/>
        <v>CF CHS 101,6 x 6,3</v>
      </c>
      <c r="BB28" s="145"/>
    </row>
    <row r="29" spans="1:54" s="146" customFormat="1" ht="13.5" customHeight="1">
      <c r="A29" s="147" t="s">
        <v>315</v>
      </c>
      <c r="B29" s="62">
        <f t="shared" si="0"/>
        <v>39.537189644974241</v>
      </c>
      <c r="C29" s="149">
        <v>101.6</v>
      </c>
      <c r="D29" s="149"/>
      <c r="E29" s="150" t="s">
        <v>824</v>
      </c>
      <c r="F29" s="149"/>
      <c r="G29" s="149"/>
      <c r="H29" s="151">
        <v>14.806519384316887</v>
      </c>
      <c r="I29" s="152">
        <v>15.089446506310203</v>
      </c>
      <c r="J29" s="152">
        <v>1886.1808132887754</v>
      </c>
      <c r="K29" s="152">
        <v>0.31918581360472298</v>
      </c>
      <c r="L29" s="153">
        <v>2150665.8023801609</v>
      </c>
      <c r="M29" s="154">
        <v>42335.94099173545</v>
      </c>
      <c r="N29" s="154">
        <v>57300.515999999981</v>
      </c>
      <c r="O29" s="155">
        <v>33.767180812143614</v>
      </c>
      <c r="P29" s="154">
        <v>2150665.8023801609</v>
      </c>
      <c r="Q29" s="154">
        <v>42335.94099173545</v>
      </c>
      <c r="R29" s="154">
        <v>57300.515999999981</v>
      </c>
      <c r="S29" s="152">
        <v>33.767180812143614</v>
      </c>
      <c r="T29" s="153">
        <v>4301331.6047603218</v>
      </c>
      <c r="U29" s="156"/>
      <c r="V29" s="157">
        <v>1</v>
      </c>
      <c r="W29" s="158">
        <v>1</v>
      </c>
      <c r="X29" s="158">
        <v>1</v>
      </c>
      <c r="Y29" s="158">
        <v>1</v>
      </c>
      <c r="Z29" s="158">
        <v>1</v>
      </c>
      <c r="AA29" s="159">
        <v>1</v>
      </c>
      <c r="AB29" s="158">
        <v>1</v>
      </c>
      <c r="AC29" s="158">
        <v>1</v>
      </c>
      <c r="AD29" s="158">
        <v>1</v>
      </c>
      <c r="AE29" s="160">
        <v>1</v>
      </c>
      <c r="AF29" s="170">
        <v>1</v>
      </c>
      <c r="AG29" s="158">
        <v>1</v>
      </c>
      <c r="AH29" s="158">
        <v>1</v>
      </c>
      <c r="AI29" s="158">
        <v>1</v>
      </c>
      <c r="AJ29" s="158">
        <v>1</v>
      </c>
      <c r="AK29" s="73">
        <f t="shared" si="1"/>
        <v>169.22333816352707</v>
      </c>
      <c r="AL29" s="162"/>
      <c r="AM29" s="163"/>
      <c r="AN29" s="164"/>
      <c r="AO29" s="170" t="s">
        <v>49</v>
      </c>
      <c r="AP29" s="70">
        <f t="shared" si="2"/>
        <v>0.49</v>
      </c>
      <c r="AQ29" s="72">
        <f>IF(head!F$82="S235",235,IF(head!F$82="S275",275,IF(head!F$82="S355",355,IF(head!F$82="S420",420,460))))^0.5*head!$G$70*1000/(S29*3.1416*210000^0.5)</f>
        <v>3.8757775032980071</v>
      </c>
      <c r="AR29" s="72">
        <f t="shared" si="3"/>
        <v>8.9113911158434789</v>
      </c>
      <c r="AS29" s="72">
        <f t="shared" si="4"/>
        <v>5.9046494595032945E-2</v>
      </c>
      <c r="AT29" s="52">
        <f>IF(head!F$82="S235",235,IF(head!F$82="S275",275,IF(head!F$82="S355",355,IF(head!F$82="S420",420,460))))*AS29*J29/1000</f>
        <v>39.537189644974241</v>
      </c>
      <c r="AU29" s="192" t="s">
        <v>47</v>
      </c>
      <c r="AV29" s="75" t="s">
        <v>47</v>
      </c>
      <c r="AW29" s="75" t="s">
        <v>47</v>
      </c>
      <c r="AX29" s="76" t="s">
        <v>47</v>
      </c>
      <c r="AY29" s="67" t="s">
        <v>47</v>
      </c>
      <c r="AZ29" s="193">
        <v>0</v>
      </c>
      <c r="BA29" s="169" t="str">
        <f t="shared" si="5"/>
        <v>CF CHS 101,6 x 7,1</v>
      </c>
      <c r="BB29" s="145"/>
    </row>
    <row r="30" spans="1:54" s="146" customFormat="1" ht="13.5" customHeight="1">
      <c r="A30" s="147" t="s">
        <v>316</v>
      </c>
      <c r="B30" s="62">
        <f t="shared" si="0"/>
        <v>43.540799680800959</v>
      </c>
      <c r="C30" s="149">
        <v>101.6</v>
      </c>
      <c r="D30" s="149"/>
      <c r="E30" s="150" t="s">
        <v>825</v>
      </c>
      <c r="F30" s="149"/>
      <c r="G30" s="149"/>
      <c r="H30" s="151">
        <v>16.546634988769672</v>
      </c>
      <c r="I30" s="152">
        <v>16.862812727408581</v>
      </c>
      <c r="J30" s="152">
        <v>2107.8515909260727</v>
      </c>
      <c r="K30" s="152">
        <v>0.31918581360472298</v>
      </c>
      <c r="L30" s="153">
        <v>2366237.3085707673</v>
      </c>
      <c r="M30" s="154">
        <v>46579.474578164707</v>
      </c>
      <c r="N30" s="154">
        <v>63524.078666666675</v>
      </c>
      <c r="O30" s="155">
        <v>33.504962319035663</v>
      </c>
      <c r="P30" s="154">
        <v>2366237.3085707673</v>
      </c>
      <c r="Q30" s="154">
        <v>46579.474578164707</v>
      </c>
      <c r="R30" s="154">
        <v>63524.078666666675</v>
      </c>
      <c r="S30" s="152">
        <v>33.504962319035663</v>
      </c>
      <c r="T30" s="153">
        <v>4732474.6171415346</v>
      </c>
      <c r="U30" s="156"/>
      <c r="V30" s="157">
        <v>1</v>
      </c>
      <c r="W30" s="158">
        <v>1</v>
      </c>
      <c r="X30" s="158">
        <v>1</v>
      </c>
      <c r="Y30" s="158">
        <v>1</v>
      </c>
      <c r="Z30" s="158">
        <v>1</v>
      </c>
      <c r="AA30" s="159">
        <v>1</v>
      </c>
      <c r="AB30" s="158">
        <v>1</v>
      </c>
      <c r="AC30" s="158">
        <v>1</v>
      </c>
      <c r="AD30" s="158">
        <v>1</v>
      </c>
      <c r="AE30" s="160">
        <v>1</v>
      </c>
      <c r="AF30" s="170">
        <v>1</v>
      </c>
      <c r="AG30" s="158">
        <v>1</v>
      </c>
      <c r="AH30" s="158">
        <v>1</v>
      </c>
      <c r="AI30" s="158">
        <v>1</v>
      </c>
      <c r="AJ30" s="158">
        <v>1</v>
      </c>
      <c r="AK30" s="73">
        <f t="shared" si="1"/>
        <v>151.42708100454573</v>
      </c>
      <c r="AL30" s="162"/>
      <c r="AM30" s="163"/>
      <c r="AN30" s="164"/>
      <c r="AO30" s="170" t="s">
        <v>49</v>
      </c>
      <c r="AP30" s="70">
        <f t="shared" si="2"/>
        <v>0.49</v>
      </c>
      <c r="AQ30" s="72">
        <f>IF(head!F$82="S235",235,IF(head!F$82="S275",275,IF(head!F$82="S355",355,IF(head!F$82="S420",420,460))))^0.5*head!$G$70*1000/(S30*3.1416*210000^0.5)</f>
        <v>3.9061103395763843</v>
      </c>
      <c r="AR30" s="72">
        <f t="shared" si="3"/>
        <v>9.0368460256689822</v>
      </c>
      <c r="AS30" s="72">
        <f t="shared" si="4"/>
        <v>5.8187274888756531E-2</v>
      </c>
      <c r="AT30" s="52">
        <f>IF(head!F$82="S235",235,IF(head!F$82="S275",275,IF(head!F$82="S355",355,IF(head!F$82="S420",420,460))))*AS30*J30/1000</f>
        <v>43.540799680800959</v>
      </c>
      <c r="AU30" s="192" t="s">
        <v>47</v>
      </c>
      <c r="AV30" s="75" t="s">
        <v>47</v>
      </c>
      <c r="AW30" s="75" t="s">
        <v>47</v>
      </c>
      <c r="AX30" s="76" t="s">
        <v>47</v>
      </c>
      <c r="AY30" s="67" t="s">
        <v>47</v>
      </c>
      <c r="AZ30" s="193">
        <v>0</v>
      </c>
      <c r="BA30" s="169" t="str">
        <f t="shared" si="5"/>
        <v>CF CHS 101,6 x 8</v>
      </c>
      <c r="BB30" s="145"/>
    </row>
    <row r="31" spans="1:54" s="146" customFormat="1" ht="13.5" customHeight="1">
      <c r="A31" s="147" t="s">
        <v>317</v>
      </c>
      <c r="B31" s="62">
        <f t="shared" si="0"/>
        <v>47.79990284153741</v>
      </c>
      <c r="C31" s="149">
        <v>101.6</v>
      </c>
      <c r="D31" s="149"/>
      <c r="E31" s="150" t="s">
        <v>826</v>
      </c>
      <c r="F31" s="149"/>
      <c r="G31" s="149"/>
      <c r="H31" s="151">
        <v>18.466532945213093</v>
      </c>
      <c r="I31" s="152">
        <v>18.819396632064297</v>
      </c>
      <c r="J31" s="152">
        <v>2352.4245790080377</v>
      </c>
      <c r="K31" s="152">
        <v>0.31918581360472298</v>
      </c>
      <c r="L31" s="153">
        <v>2595006.6015953464</v>
      </c>
      <c r="M31" s="154">
        <v>51082.807118018623</v>
      </c>
      <c r="N31" s="154">
        <v>70258.346666666679</v>
      </c>
      <c r="O31" s="155">
        <v>33.213250367887809</v>
      </c>
      <c r="P31" s="154">
        <v>2595006.6015953464</v>
      </c>
      <c r="Q31" s="154">
        <v>51082.807118018623</v>
      </c>
      <c r="R31" s="154">
        <v>70258.346666666679</v>
      </c>
      <c r="S31" s="152">
        <v>33.213250367887809</v>
      </c>
      <c r="T31" s="153">
        <v>5190013.2031906927</v>
      </c>
      <c r="U31" s="156"/>
      <c r="V31" s="157">
        <v>1</v>
      </c>
      <c r="W31" s="158">
        <v>1</v>
      </c>
      <c r="X31" s="158">
        <v>1</v>
      </c>
      <c r="Y31" s="158">
        <v>1</v>
      </c>
      <c r="Z31" s="158">
        <v>1</v>
      </c>
      <c r="AA31" s="159">
        <v>1</v>
      </c>
      <c r="AB31" s="158">
        <v>1</v>
      </c>
      <c r="AC31" s="158">
        <v>1</v>
      </c>
      <c r="AD31" s="158">
        <v>1</v>
      </c>
      <c r="AE31" s="160">
        <v>1</v>
      </c>
      <c r="AF31" s="170">
        <v>1</v>
      </c>
      <c r="AG31" s="158">
        <v>1</v>
      </c>
      <c r="AH31" s="158">
        <v>1</v>
      </c>
      <c r="AI31" s="158">
        <v>1</v>
      </c>
      <c r="AJ31" s="158">
        <v>1</v>
      </c>
      <c r="AK31" s="73">
        <f t="shared" si="1"/>
        <v>135.68376068376065</v>
      </c>
      <c r="AL31" s="162"/>
      <c r="AM31" s="163"/>
      <c r="AN31" s="164"/>
      <c r="AO31" s="170" t="s">
        <v>49</v>
      </c>
      <c r="AP31" s="70">
        <f t="shared" si="2"/>
        <v>0.49</v>
      </c>
      <c r="AQ31" s="72">
        <f>IF(head!F$82="S235",235,IF(head!F$82="S275",275,IF(head!F$82="S355",355,IF(head!F$82="S420",420,460))))^0.5*head!$G$70*1000/(S31*3.1416*210000^0.5)</f>
        <v>3.9404177035330994</v>
      </c>
      <c r="AR31" s="72">
        <f t="shared" si="3"/>
        <v>9.1798481765241426</v>
      </c>
      <c r="AS31" s="72">
        <f t="shared" si="4"/>
        <v>5.7237802580226101E-2</v>
      </c>
      <c r="AT31" s="52">
        <f>IF(head!F$82="S235",235,IF(head!F$82="S275",275,IF(head!F$82="S355",355,IF(head!F$82="S420",420,460))))*AS31*J31/1000</f>
        <v>47.79990284153741</v>
      </c>
      <c r="AU31" s="192" t="s">
        <v>47</v>
      </c>
      <c r="AV31" s="75" t="s">
        <v>47</v>
      </c>
      <c r="AW31" s="75" t="s">
        <v>47</v>
      </c>
      <c r="AX31" s="76" t="s">
        <v>47</v>
      </c>
      <c r="AY31" s="67" t="s">
        <v>47</v>
      </c>
      <c r="AZ31" s="193">
        <v>0</v>
      </c>
      <c r="BA31" s="169" t="str">
        <f t="shared" si="5"/>
        <v>CF CHS 101,6 x 8,8</v>
      </c>
      <c r="BB31" s="145"/>
    </row>
    <row r="32" spans="1:54" s="146" customFormat="1" ht="13.5" customHeight="1">
      <c r="A32" s="147" t="s">
        <v>318</v>
      </c>
      <c r="B32" s="62">
        <f t="shared" si="0"/>
        <v>51.375768482115774</v>
      </c>
      <c r="C32" s="149">
        <v>101.6</v>
      </c>
      <c r="D32" s="149"/>
      <c r="E32" s="150" t="s">
        <v>827</v>
      </c>
      <c r="F32" s="149"/>
      <c r="G32" s="149"/>
      <c r="H32" s="151">
        <v>20.139569263326408</v>
      </c>
      <c r="I32" s="152">
        <v>20.524401797020541</v>
      </c>
      <c r="J32" s="152">
        <v>2565.5502246275682</v>
      </c>
      <c r="K32" s="152">
        <v>0.31918581360472298</v>
      </c>
      <c r="L32" s="153">
        <v>2786598.0319814794</v>
      </c>
      <c r="M32" s="154">
        <v>54854.291968139354</v>
      </c>
      <c r="N32" s="154">
        <v>76011.349333333317</v>
      </c>
      <c r="O32" s="155">
        <v>32.956941605676946</v>
      </c>
      <c r="P32" s="154">
        <v>2786598.0319814794</v>
      </c>
      <c r="Q32" s="154">
        <v>54854.291968139354</v>
      </c>
      <c r="R32" s="154">
        <v>76011.349333333317</v>
      </c>
      <c r="S32" s="152">
        <v>32.956941605676946</v>
      </c>
      <c r="T32" s="153">
        <v>5573196.0639629588</v>
      </c>
      <c r="U32" s="156"/>
      <c r="V32" s="157">
        <v>1</v>
      </c>
      <c r="W32" s="158">
        <v>1</v>
      </c>
      <c r="X32" s="158">
        <v>1</v>
      </c>
      <c r="Y32" s="158">
        <v>1</v>
      </c>
      <c r="Z32" s="158">
        <v>1</v>
      </c>
      <c r="AA32" s="159">
        <v>1</v>
      </c>
      <c r="AB32" s="158">
        <v>1</v>
      </c>
      <c r="AC32" s="158">
        <v>1</v>
      </c>
      <c r="AD32" s="158">
        <v>1</v>
      </c>
      <c r="AE32" s="160">
        <v>1</v>
      </c>
      <c r="AF32" s="170">
        <v>1</v>
      </c>
      <c r="AG32" s="158">
        <v>1</v>
      </c>
      <c r="AH32" s="158">
        <v>1</v>
      </c>
      <c r="AI32" s="158">
        <v>1</v>
      </c>
      <c r="AJ32" s="158">
        <v>1</v>
      </c>
      <c r="AK32" s="73">
        <f t="shared" si="1"/>
        <v>124.41222570532916</v>
      </c>
      <c r="AL32" s="162"/>
      <c r="AM32" s="163"/>
      <c r="AN32" s="164"/>
      <c r="AO32" s="170" t="s">
        <v>49</v>
      </c>
      <c r="AP32" s="70">
        <f t="shared" si="2"/>
        <v>0.49</v>
      </c>
      <c r="AQ32" s="72">
        <f>IF(head!F$82="S235",235,IF(head!F$82="S275",275,IF(head!F$82="S355",355,IF(head!F$82="S420",420,460))))^0.5*head!$G$70*1000/(S32*3.1416*210000^0.5)</f>
        <v>3.9710626461455041</v>
      </c>
      <c r="AR32" s="72">
        <f t="shared" si="3"/>
        <v>9.3085796181117146</v>
      </c>
      <c r="AS32" s="72">
        <f t="shared" si="4"/>
        <v>5.6409137193374481E-2</v>
      </c>
      <c r="AT32" s="52">
        <f>IF(head!F$82="S235",235,IF(head!F$82="S275",275,IF(head!F$82="S355",355,IF(head!F$82="S420",420,460))))*AS32*J32/1000</f>
        <v>51.375768482115774</v>
      </c>
      <c r="AU32" s="192" t="s">
        <v>47</v>
      </c>
      <c r="AV32" s="75" t="s">
        <v>47</v>
      </c>
      <c r="AW32" s="75" t="s">
        <v>47</v>
      </c>
      <c r="AX32" s="76" t="s">
        <v>47</v>
      </c>
      <c r="AY32" s="67" t="s">
        <v>47</v>
      </c>
      <c r="AZ32" s="193">
        <v>0</v>
      </c>
      <c r="BA32" s="169" t="str">
        <f t="shared" si="5"/>
        <v>CF CHS 101,6 x 10</v>
      </c>
      <c r="BB32" s="145"/>
    </row>
    <row r="33" spans="1:54" s="146" customFormat="1" ht="13.5" customHeight="1">
      <c r="A33" s="147" t="s">
        <v>319</v>
      </c>
      <c r="B33" s="62">
        <f t="shared" si="0"/>
        <v>56.384532124827032</v>
      </c>
      <c r="C33" s="149">
        <v>101.6</v>
      </c>
      <c r="D33" s="149"/>
      <c r="E33" s="150" t="s">
        <v>828</v>
      </c>
      <c r="F33" s="149"/>
      <c r="G33" s="149"/>
      <c r="H33" s="151">
        <v>22.589936134902764</v>
      </c>
      <c r="I33" s="152">
        <v>23.021590965506</v>
      </c>
      <c r="J33" s="152">
        <v>2877.6988706882503</v>
      </c>
      <c r="K33" s="152">
        <v>0.31918581360472298</v>
      </c>
      <c r="L33" s="153">
        <v>3054159.3654388539</v>
      </c>
      <c r="M33" s="154">
        <v>60121.247351158541</v>
      </c>
      <c r="N33" s="154">
        <v>84238.933333333334</v>
      </c>
      <c r="O33" s="155">
        <v>32.577906623968339</v>
      </c>
      <c r="P33" s="154">
        <v>3054159.3654388539</v>
      </c>
      <c r="Q33" s="154">
        <v>60121.247351158541</v>
      </c>
      <c r="R33" s="154">
        <v>84238.933333333334</v>
      </c>
      <c r="S33" s="152">
        <v>32.577906623968339</v>
      </c>
      <c r="T33" s="153">
        <v>6108318.7308777077</v>
      </c>
      <c r="U33" s="156"/>
      <c r="V33" s="157">
        <v>1</v>
      </c>
      <c r="W33" s="158">
        <v>1</v>
      </c>
      <c r="X33" s="158">
        <v>1</v>
      </c>
      <c r="Y33" s="158">
        <v>1</v>
      </c>
      <c r="Z33" s="158">
        <v>1</v>
      </c>
      <c r="AA33" s="159">
        <v>1</v>
      </c>
      <c r="AB33" s="158">
        <v>1</v>
      </c>
      <c r="AC33" s="158">
        <v>1</v>
      </c>
      <c r="AD33" s="158">
        <v>1</v>
      </c>
      <c r="AE33" s="160">
        <v>1</v>
      </c>
      <c r="AF33" s="170">
        <v>1</v>
      </c>
      <c r="AG33" s="158">
        <v>1</v>
      </c>
      <c r="AH33" s="158">
        <v>1</v>
      </c>
      <c r="AI33" s="158">
        <v>1</v>
      </c>
      <c r="AJ33" s="158">
        <v>1</v>
      </c>
      <c r="AK33" s="73">
        <f t="shared" si="1"/>
        <v>110.9170305676856</v>
      </c>
      <c r="AL33" s="162"/>
      <c r="AM33" s="163"/>
      <c r="AN33" s="164"/>
      <c r="AO33" s="170" t="s">
        <v>49</v>
      </c>
      <c r="AP33" s="70">
        <f t="shared" si="2"/>
        <v>0.49</v>
      </c>
      <c r="AQ33" s="72">
        <f>IF(head!F$82="S235",235,IF(head!F$82="S275",275,IF(head!F$82="S355",355,IF(head!F$82="S420",420,460))))^0.5*head!$G$70*1000/(S33*3.1416*210000^0.5)</f>
        <v>4.017264867633183</v>
      </c>
      <c r="AR33" s="72">
        <f t="shared" si="3"/>
        <v>9.5044384009300575</v>
      </c>
      <c r="AS33" s="72">
        <f t="shared" si="4"/>
        <v>5.5193289880004867E-2</v>
      </c>
      <c r="AT33" s="52">
        <f>IF(head!F$82="S235",235,IF(head!F$82="S275",275,IF(head!F$82="S355",355,IF(head!F$82="S420",420,460))))*AS33*J33/1000</f>
        <v>56.384532124827032</v>
      </c>
      <c r="AU33" s="192" t="s">
        <v>47</v>
      </c>
      <c r="AV33" s="75" t="s">
        <v>47</v>
      </c>
      <c r="AW33" s="75" t="s">
        <v>47</v>
      </c>
      <c r="AX33" s="76" t="s">
        <v>47</v>
      </c>
      <c r="AY33" s="67" t="s">
        <v>47</v>
      </c>
      <c r="AZ33" s="193">
        <v>0</v>
      </c>
      <c r="BA33" s="169" t="str">
        <f t="shared" si="5"/>
        <v>CF CHS 101,6 x 12,5</v>
      </c>
      <c r="BB33" s="145"/>
    </row>
    <row r="34" spans="1:54" s="146" customFormat="1" ht="13.5" customHeight="1">
      <c r="A34" s="147" t="s">
        <v>320</v>
      </c>
      <c r="B34" s="62">
        <f t="shared" si="0"/>
        <v>65.541694619491054</v>
      </c>
      <c r="C34" s="149">
        <v>101.6</v>
      </c>
      <c r="D34" s="149"/>
      <c r="E34" s="150" t="s">
        <v>829</v>
      </c>
      <c r="F34" s="149"/>
      <c r="G34" s="149"/>
      <c r="H34" s="151">
        <v>27.46674822079471</v>
      </c>
      <c r="I34" s="152">
        <v>27.991590543485053</v>
      </c>
      <c r="J34" s="152">
        <v>3498.9488179356322</v>
      </c>
      <c r="K34" s="152">
        <v>0.31918581360472298</v>
      </c>
      <c r="L34" s="153">
        <v>3540525.0772647518</v>
      </c>
      <c r="M34" s="154">
        <v>69695.375536707725</v>
      </c>
      <c r="N34" s="154">
        <v>99886.166666666672</v>
      </c>
      <c r="O34" s="155">
        <v>31.810100597137378</v>
      </c>
      <c r="P34" s="154">
        <v>3540525.0772647518</v>
      </c>
      <c r="Q34" s="154">
        <v>69695.375536707725</v>
      </c>
      <c r="R34" s="154">
        <v>99886.166666666672</v>
      </c>
      <c r="S34" s="152">
        <v>31.810100597137378</v>
      </c>
      <c r="T34" s="153">
        <v>7081050.1545295035</v>
      </c>
      <c r="U34" s="156"/>
      <c r="V34" s="157">
        <v>1</v>
      </c>
      <c r="W34" s="158">
        <v>1</v>
      </c>
      <c r="X34" s="158">
        <v>1</v>
      </c>
      <c r="Y34" s="158">
        <v>1</v>
      </c>
      <c r="Z34" s="158">
        <v>1</v>
      </c>
      <c r="AA34" s="159">
        <v>1</v>
      </c>
      <c r="AB34" s="158">
        <v>1</v>
      </c>
      <c r="AC34" s="158">
        <v>1</v>
      </c>
      <c r="AD34" s="158">
        <v>1</v>
      </c>
      <c r="AE34" s="160">
        <v>1</v>
      </c>
      <c r="AF34" s="170">
        <v>1</v>
      </c>
      <c r="AG34" s="158">
        <v>1</v>
      </c>
      <c r="AH34" s="158">
        <v>1</v>
      </c>
      <c r="AI34" s="158">
        <v>1</v>
      </c>
      <c r="AJ34" s="158">
        <v>1</v>
      </c>
      <c r="AK34" s="73">
        <f t="shared" si="1"/>
        <v>91.223344556677887</v>
      </c>
      <c r="AL34" s="162"/>
      <c r="AM34" s="163"/>
      <c r="AN34" s="164"/>
      <c r="AO34" s="170" t="s">
        <v>49</v>
      </c>
      <c r="AP34" s="70">
        <f t="shared" si="2"/>
        <v>0.49</v>
      </c>
      <c r="AQ34" s="72">
        <f>IF(head!F$82="S235",235,IF(head!F$82="S275",275,IF(head!F$82="S355",355,IF(head!F$82="S420",420,460))))^0.5*head!$G$70*1000/(S34*3.1416*210000^0.5)</f>
        <v>4.1142303005882308</v>
      </c>
      <c r="AR34" s="72">
        <f t="shared" si="3"/>
        <v>9.9224319067832791</v>
      </c>
      <c r="AS34" s="72">
        <f t="shared" si="4"/>
        <v>5.2765702355948754E-2</v>
      </c>
      <c r="AT34" s="52">
        <f>IF(head!F$82="S235",235,IF(head!F$82="S275",275,IF(head!F$82="S355",355,IF(head!F$82="S420",420,460))))*AS34*J34/1000</f>
        <v>65.541694619491054</v>
      </c>
      <c r="AU34" s="192" t="s">
        <v>47</v>
      </c>
      <c r="AV34" s="75" t="s">
        <v>47</v>
      </c>
      <c r="AW34" s="75" t="s">
        <v>47</v>
      </c>
      <c r="AX34" s="76" t="s">
        <v>47</v>
      </c>
      <c r="AY34" s="67" t="s">
        <v>47</v>
      </c>
      <c r="AZ34" s="193">
        <v>0</v>
      </c>
      <c r="BA34" s="169" t="str">
        <f t="shared" si="5"/>
        <v>CF CHS 101,6 x 16</v>
      </c>
      <c r="BB34" s="145"/>
    </row>
    <row r="35" spans="1:54" s="146" customFormat="1" ht="13.5" customHeight="1">
      <c r="A35" s="147" t="s">
        <v>321</v>
      </c>
      <c r="B35" s="62">
        <f t="shared" si="0"/>
        <v>75.776453215306617</v>
      </c>
      <c r="C35" s="149">
        <v>101.6</v>
      </c>
      <c r="D35" s="149"/>
      <c r="E35" s="150" t="s">
        <v>831</v>
      </c>
      <c r="F35" s="149"/>
      <c r="G35" s="149"/>
      <c r="H35" s="151">
        <v>33.776393592099161</v>
      </c>
      <c r="I35" s="152">
        <v>34.421802386852647</v>
      </c>
      <c r="J35" s="152">
        <v>4302.7252983565813</v>
      </c>
      <c r="K35" s="152">
        <v>0.31918581360472298</v>
      </c>
      <c r="L35" s="153">
        <v>4078639.3648181702</v>
      </c>
      <c r="M35" s="154">
        <v>80288.176472798645</v>
      </c>
      <c r="N35" s="154">
        <v>118603.09333333335</v>
      </c>
      <c r="O35" s="155">
        <v>30.788309469667215</v>
      </c>
      <c r="P35" s="154">
        <v>4078639.3648181702</v>
      </c>
      <c r="Q35" s="154">
        <v>80288.176472798645</v>
      </c>
      <c r="R35" s="154">
        <v>118603.09333333335</v>
      </c>
      <c r="S35" s="152">
        <v>30.788309469667215</v>
      </c>
      <c r="T35" s="153">
        <v>8157278.7296363404</v>
      </c>
      <c r="U35" s="156"/>
      <c r="V35" s="157">
        <v>1</v>
      </c>
      <c r="W35" s="158">
        <v>1</v>
      </c>
      <c r="X35" s="158">
        <v>1</v>
      </c>
      <c r="Y35" s="158">
        <v>1</v>
      </c>
      <c r="Z35" s="158">
        <v>1</v>
      </c>
      <c r="AA35" s="159">
        <v>1</v>
      </c>
      <c r="AB35" s="158">
        <v>1</v>
      </c>
      <c r="AC35" s="158">
        <v>1</v>
      </c>
      <c r="AD35" s="158">
        <v>1</v>
      </c>
      <c r="AE35" s="160">
        <v>1</v>
      </c>
      <c r="AF35" s="170">
        <v>1</v>
      </c>
      <c r="AG35" s="158">
        <v>1</v>
      </c>
      <c r="AH35" s="158">
        <v>1</v>
      </c>
      <c r="AI35" s="158">
        <v>1</v>
      </c>
      <c r="AJ35" s="158">
        <v>1</v>
      </c>
      <c r="AK35" s="73">
        <f t="shared" si="1"/>
        <v>74.182242990654203</v>
      </c>
      <c r="AL35" s="162"/>
      <c r="AM35" s="163"/>
      <c r="AN35" s="164"/>
      <c r="AO35" s="170" t="s">
        <v>49</v>
      </c>
      <c r="AP35" s="70">
        <f t="shared" si="2"/>
        <v>0.49</v>
      </c>
      <c r="AQ35" s="72">
        <f>IF(head!F$82="S235",235,IF(head!F$82="S275",275,IF(head!F$82="S355",355,IF(head!F$82="S420",420,460))))^0.5*head!$G$70*1000/(S35*3.1416*210000^0.5)</f>
        <v>4.2507718674986075</v>
      </c>
      <c r="AR35" s="72">
        <f t="shared" si="3"/>
        <v>10.526969842295959</v>
      </c>
      <c r="AS35" s="72">
        <f t="shared" si="4"/>
        <v>4.9609208812639007E-2</v>
      </c>
      <c r="AT35" s="52">
        <f>IF(head!F$82="S235",235,IF(head!F$82="S275",275,IF(head!F$82="S355",355,IF(head!F$82="S420",420,460))))*AS35*J35/1000</f>
        <v>75.776453215306617</v>
      </c>
      <c r="AU35" s="192" t="s">
        <v>47</v>
      </c>
      <c r="AV35" s="75" t="s">
        <v>47</v>
      </c>
      <c r="AW35" s="75" t="s">
        <v>47</v>
      </c>
      <c r="AX35" s="76" t="s">
        <v>47</v>
      </c>
      <c r="AY35" s="67" t="s">
        <v>47</v>
      </c>
      <c r="AZ35" s="193">
        <v>0</v>
      </c>
      <c r="BA35" s="169" t="str">
        <f t="shared" si="5"/>
        <v>CF CHS 101,6 x 17,5</v>
      </c>
      <c r="BB35" s="145"/>
    </row>
    <row r="36" spans="1:54" s="146" customFormat="1" ht="13.5" customHeight="1">
      <c r="A36" s="147" t="s">
        <v>322</v>
      </c>
      <c r="B36" s="62">
        <f t="shared" si="0"/>
        <v>79.351290973856123</v>
      </c>
      <c r="C36" s="149">
        <v>101.6</v>
      </c>
      <c r="D36" s="149"/>
      <c r="E36" s="150" t="s">
        <v>832</v>
      </c>
      <c r="F36" s="149"/>
      <c r="G36" s="149"/>
      <c r="H36" s="151">
        <v>36.295566055178107</v>
      </c>
      <c r="I36" s="152">
        <v>36.989111903366222</v>
      </c>
      <c r="J36" s="152">
        <v>4623.6389879207782</v>
      </c>
      <c r="K36" s="152">
        <v>0.31918581360472298</v>
      </c>
      <c r="L36" s="153">
        <v>4264763.6887758365</v>
      </c>
      <c r="M36" s="154">
        <v>83952.041117634595</v>
      </c>
      <c r="N36" s="154">
        <v>125560.63333333335</v>
      </c>
      <c r="O36" s="155">
        <v>30.370750731583833</v>
      </c>
      <c r="P36" s="154">
        <v>4264763.6887758365</v>
      </c>
      <c r="Q36" s="154">
        <v>83952.041117634595</v>
      </c>
      <c r="R36" s="154">
        <v>125560.63333333335</v>
      </c>
      <c r="S36" s="152">
        <v>30.370750731583833</v>
      </c>
      <c r="T36" s="153">
        <v>8529527.377551673</v>
      </c>
      <c r="U36" s="156"/>
      <c r="V36" s="157">
        <v>1</v>
      </c>
      <c r="W36" s="158">
        <v>1</v>
      </c>
      <c r="X36" s="158">
        <v>1</v>
      </c>
      <c r="Y36" s="158">
        <v>1</v>
      </c>
      <c r="Z36" s="158">
        <v>1</v>
      </c>
      <c r="AA36" s="159">
        <v>1</v>
      </c>
      <c r="AB36" s="158">
        <v>1</v>
      </c>
      <c r="AC36" s="158">
        <v>1</v>
      </c>
      <c r="AD36" s="158">
        <v>1</v>
      </c>
      <c r="AE36" s="160">
        <v>1</v>
      </c>
      <c r="AF36" s="170">
        <v>1</v>
      </c>
      <c r="AG36" s="158">
        <v>1</v>
      </c>
      <c r="AH36" s="158">
        <v>1</v>
      </c>
      <c r="AI36" s="158">
        <v>1</v>
      </c>
      <c r="AJ36" s="158">
        <v>1</v>
      </c>
      <c r="AK36" s="73">
        <f t="shared" si="1"/>
        <v>69.033463563784608</v>
      </c>
      <c r="AL36" s="162"/>
      <c r="AM36" s="163"/>
      <c r="AN36" s="164"/>
      <c r="AO36" s="170" t="s">
        <v>49</v>
      </c>
      <c r="AP36" s="70">
        <f t="shared" si="2"/>
        <v>0.49</v>
      </c>
      <c r="AQ36" s="72">
        <f>IF(head!F$82="S235",235,IF(head!F$82="S275",275,IF(head!F$82="S355",355,IF(head!F$82="S420",420,460))))^0.5*head!$G$70*1000/(S36*3.1416*210000^0.5)</f>
        <v>4.3092145103084603</v>
      </c>
      <c r="AR36" s="72">
        <f t="shared" si="3"/>
        <v>10.791422402952064</v>
      </c>
      <c r="AS36" s="72">
        <f t="shared" si="4"/>
        <v>4.83439048529943E-2</v>
      </c>
      <c r="AT36" s="52">
        <f>IF(head!F$82="S235",235,IF(head!F$82="S275",275,IF(head!F$82="S355",355,IF(head!F$82="S420",420,460))))*AS36*J36/1000</f>
        <v>79.351290973856123</v>
      </c>
      <c r="AU36" s="192" t="s">
        <v>47</v>
      </c>
      <c r="AV36" s="75" t="s">
        <v>47</v>
      </c>
      <c r="AW36" s="75" t="s">
        <v>47</v>
      </c>
      <c r="AX36" s="76" t="s">
        <v>47</v>
      </c>
      <c r="AY36" s="67" t="s">
        <v>47</v>
      </c>
      <c r="AZ36" s="193">
        <v>0</v>
      </c>
      <c r="BA36" s="169" t="str">
        <f t="shared" si="5"/>
        <v>CF CHS 101,6 x 20</v>
      </c>
      <c r="BB36" s="145"/>
    </row>
    <row r="37" spans="1:54" s="146" customFormat="1" ht="13.5" customHeight="1">
      <c r="A37" s="147" t="s">
        <v>323</v>
      </c>
      <c r="B37" s="62">
        <f t="shared" si="0"/>
        <v>84.367691173611348</v>
      </c>
      <c r="C37" s="149">
        <v>101.6</v>
      </c>
      <c r="D37" s="149"/>
      <c r="E37" s="150" t="s">
        <v>833</v>
      </c>
      <c r="F37" s="149"/>
      <c r="G37" s="149"/>
      <c r="H37" s="151">
        <v>40.247571803669558</v>
      </c>
      <c r="I37" s="152">
        <v>41.016633685268339</v>
      </c>
      <c r="J37" s="152">
        <v>5127.0792106585423</v>
      </c>
      <c r="K37" s="152">
        <v>0.31918581360472298</v>
      </c>
      <c r="L37" s="153">
        <v>4523724.5291482452</v>
      </c>
      <c r="M37" s="154">
        <v>89049.695455674126</v>
      </c>
      <c r="N37" s="154">
        <v>135837.86666666667</v>
      </c>
      <c r="O37" s="155">
        <v>29.703871801500895</v>
      </c>
      <c r="P37" s="154">
        <v>4523724.5291482452</v>
      </c>
      <c r="Q37" s="154">
        <v>89049.695455674126</v>
      </c>
      <c r="R37" s="154">
        <v>135837.86666666667</v>
      </c>
      <c r="S37" s="152">
        <v>29.703871801500895</v>
      </c>
      <c r="T37" s="153">
        <v>9047449.0582964905</v>
      </c>
      <c r="U37" s="156"/>
      <c r="V37" s="157">
        <v>1</v>
      </c>
      <c r="W37" s="158">
        <v>1</v>
      </c>
      <c r="X37" s="158">
        <v>1</v>
      </c>
      <c r="Y37" s="158">
        <v>1</v>
      </c>
      <c r="Z37" s="158">
        <v>1</v>
      </c>
      <c r="AA37" s="159">
        <v>1</v>
      </c>
      <c r="AB37" s="158">
        <v>1</v>
      </c>
      <c r="AC37" s="158">
        <v>1</v>
      </c>
      <c r="AD37" s="158">
        <v>1</v>
      </c>
      <c r="AE37" s="160">
        <v>1</v>
      </c>
      <c r="AF37" s="170">
        <v>1</v>
      </c>
      <c r="AG37" s="158">
        <v>1</v>
      </c>
      <c r="AH37" s="158">
        <v>1</v>
      </c>
      <c r="AI37" s="158">
        <v>1</v>
      </c>
      <c r="AJ37" s="158">
        <v>1</v>
      </c>
      <c r="AK37" s="73">
        <f t="shared" si="1"/>
        <v>62.254901960784316</v>
      </c>
      <c r="AL37" s="162"/>
      <c r="AM37" s="163"/>
      <c r="AN37" s="164"/>
      <c r="AO37" s="170" t="s">
        <v>49</v>
      </c>
      <c r="AP37" s="70">
        <f t="shared" si="2"/>
        <v>0.49</v>
      </c>
      <c r="AQ37" s="72">
        <f>IF(head!F$82="S235",235,IF(head!F$82="S275",275,IF(head!F$82="S355",355,IF(head!F$82="S420",420,460))))^0.5*head!$G$70*1000/(S37*3.1416*210000^0.5)</f>
        <v>4.4059602942027727</v>
      </c>
      <c r="AR37" s="72">
        <f t="shared" si="3"/>
        <v>11.236703329125371</v>
      </c>
      <c r="AS37" s="72">
        <f t="shared" si="4"/>
        <v>4.6352993259909957E-2</v>
      </c>
      <c r="AT37" s="52">
        <f>IF(head!F$82="S235",235,IF(head!F$82="S275",275,IF(head!F$82="S355",355,IF(head!F$82="S420",420,460))))*AS37*J37/1000</f>
        <v>84.367691173611348</v>
      </c>
      <c r="AU37" s="192" t="s">
        <v>47</v>
      </c>
      <c r="AV37" s="75" t="s">
        <v>47</v>
      </c>
      <c r="AW37" s="75" t="s">
        <v>47</v>
      </c>
      <c r="AX37" s="76" t="s">
        <v>47</v>
      </c>
      <c r="AY37" s="67" t="s">
        <v>47</v>
      </c>
      <c r="AZ37" s="193">
        <v>0</v>
      </c>
      <c r="BA37" s="169" t="str">
        <f t="shared" si="5"/>
        <v>CF CHS 114,3 x 5</v>
      </c>
      <c r="BB37" s="145"/>
    </row>
    <row r="38" spans="1:54" s="146" customFormat="1" ht="13.5" customHeight="1">
      <c r="A38" s="147" t="s">
        <v>324</v>
      </c>
      <c r="B38" s="62">
        <f t="shared" si="0"/>
        <v>46.405086988882701</v>
      </c>
      <c r="C38" s="149">
        <v>114.3</v>
      </c>
      <c r="D38" s="149"/>
      <c r="E38" s="150" t="s">
        <v>822</v>
      </c>
      <c r="F38" s="149"/>
      <c r="G38" s="149"/>
      <c r="H38" s="151">
        <v>13.477511023716552</v>
      </c>
      <c r="I38" s="152">
        <v>13.735043081494576</v>
      </c>
      <c r="J38" s="152">
        <v>1716.880385186822</v>
      </c>
      <c r="K38" s="152">
        <v>0.35908404030531338</v>
      </c>
      <c r="L38" s="153">
        <v>2569202.0453075236</v>
      </c>
      <c r="M38" s="154">
        <v>44955.416365835932</v>
      </c>
      <c r="N38" s="154">
        <v>59774.116666666654</v>
      </c>
      <c r="O38" s="155">
        <v>38.683798288172277</v>
      </c>
      <c r="P38" s="154">
        <v>2569202.0453075236</v>
      </c>
      <c r="Q38" s="154">
        <v>44955.416365835932</v>
      </c>
      <c r="R38" s="154">
        <v>59774.116666666654</v>
      </c>
      <c r="S38" s="152">
        <v>38.683798288172277</v>
      </c>
      <c r="T38" s="153">
        <v>5138404.0906150471</v>
      </c>
      <c r="U38" s="156"/>
      <c r="V38" s="157">
        <v>1</v>
      </c>
      <c r="W38" s="158">
        <v>1</v>
      </c>
      <c r="X38" s="158">
        <v>1</v>
      </c>
      <c r="Y38" s="158">
        <v>1</v>
      </c>
      <c r="Z38" s="158">
        <v>1</v>
      </c>
      <c r="AA38" s="159">
        <v>1</v>
      </c>
      <c r="AB38" s="158">
        <v>1</v>
      </c>
      <c r="AC38" s="158">
        <v>1</v>
      </c>
      <c r="AD38" s="158">
        <v>2</v>
      </c>
      <c r="AE38" s="160">
        <v>2</v>
      </c>
      <c r="AF38" s="170">
        <v>1</v>
      </c>
      <c r="AG38" s="158">
        <v>1</v>
      </c>
      <c r="AH38" s="158">
        <v>1</v>
      </c>
      <c r="AI38" s="158">
        <v>2</v>
      </c>
      <c r="AJ38" s="158">
        <v>2</v>
      </c>
      <c r="AK38" s="73">
        <f t="shared" si="1"/>
        <v>209.1491308325709</v>
      </c>
      <c r="AL38" s="162"/>
      <c r="AM38" s="163"/>
      <c r="AN38" s="164"/>
      <c r="AO38" s="170" t="s">
        <v>49</v>
      </c>
      <c r="AP38" s="70">
        <f t="shared" si="2"/>
        <v>0.49</v>
      </c>
      <c r="AQ38" s="72">
        <f>IF(head!F$82="S235",235,IF(head!F$82="S275",275,IF(head!F$82="S355",355,IF(head!F$82="S420",420,460))))^0.5*head!$G$70*1000/(S38*3.1416*210000^0.5)</f>
        <v>3.3831755291082057</v>
      </c>
      <c r="AR38" s="72">
        <f t="shared" si="3"/>
        <v>7.002816335009804</v>
      </c>
      <c r="AS38" s="72">
        <f t="shared" si="4"/>
        <v>7.6137252208188635E-2</v>
      </c>
      <c r="AT38" s="52">
        <f>IF(head!F$82="S235",235,IF(head!F$82="S275",275,IF(head!F$82="S355",355,IF(head!F$82="S420",420,460))))*AS38*J38/1000</f>
        <v>46.405086988882701</v>
      </c>
      <c r="AU38" s="192" t="s">
        <v>47</v>
      </c>
      <c r="AV38" s="75" t="s">
        <v>47</v>
      </c>
      <c r="AW38" s="75" t="s">
        <v>47</v>
      </c>
      <c r="AX38" s="76" t="s">
        <v>47</v>
      </c>
      <c r="AY38" s="67" t="s">
        <v>47</v>
      </c>
      <c r="AZ38" s="193">
        <v>0</v>
      </c>
      <c r="BA38" s="169" t="str">
        <f t="shared" si="5"/>
        <v>CF CHS 114,3 x 5,6</v>
      </c>
      <c r="BB38" s="145"/>
    </row>
    <row r="39" spans="1:54" s="146" customFormat="1" ht="13.5" customHeight="1">
      <c r="A39" s="147" t="s">
        <v>325</v>
      </c>
      <c r="B39" s="62">
        <f t="shared" si="0"/>
        <v>51.188463009816672</v>
      </c>
      <c r="C39" s="149">
        <v>114.3</v>
      </c>
      <c r="D39" s="149"/>
      <c r="E39" s="150" t="s">
        <v>823</v>
      </c>
      <c r="F39" s="149"/>
      <c r="G39" s="149"/>
      <c r="H39" s="151">
        <v>15.01194969873146</v>
      </c>
      <c r="I39" s="152">
        <v>15.298802240745436</v>
      </c>
      <c r="J39" s="152">
        <v>1912.3502800931797</v>
      </c>
      <c r="K39" s="152">
        <v>0.35908404030531338</v>
      </c>
      <c r="L39" s="153">
        <v>2831963.6732222377</v>
      </c>
      <c r="M39" s="154">
        <v>49553.170135122273</v>
      </c>
      <c r="N39" s="154">
        <v>66226.402666666705</v>
      </c>
      <c r="O39" s="155">
        <v>38.482219920373616</v>
      </c>
      <c r="P39" s="154">
        <v>2831963.6732222377</v>
      </c>
      <c r="Q39" s="154">
        <v>49553.170135122273</v>
      </c>
      <c r="R39" s="154">
        <v>66226.402666666705</v>
      </c>
      <c r="S39" s="152">
        <v>38.482219920373616</v>
      </c>
      <c r="T39" s="153">
        <v>5663927.3464444755</v>
      </c>
      <c r="U39" s="156"/>
      <c r="V39" s="157">
        <v>1</v>
      </c>
      <c r="W39" s="158">
        <v>1</v>
      </c>
      <c r="X39" s="158">
        <v>1</v>
      </c>
      <c r="Y39" s="158">
        <v>1</v>
      </c>
      <c r="Z39" s="158">
        <v>1</v>
      </c>
      <c r="AA39" s="159">
        <v>1</v>
      </c>
      <c r="AB39" s="158">
        <v>1</v>
      </c>
      <c r="AC39" s="158">
        <v>1</v>
      </c>
      <c r="AD39" s="158">
        <v>2</v>
      </c>
      <c r="AE39" s="160">
        <v>2</v>
      </c>
      <c r="AF39" s="170">
        <v>1</v>
      </c>
      <c r="AG39" s="158">
        <v>1</v>
      </c>
      <c r="AH39" s="158">
        <v>1</v>
      </c>
      <c r="AI39" s="158">
        <v>2</v>
      </c>
      <c r="AJ39" s="158">
        <v>2</v>
      </c>
      <c r="AK39" s="73">
        <f t="shared" si="1"/>
        <v>187.77106058614794</v>
      </c>
      <c r="AL39" s="162"/>
      <c r="AM39" s="163"/>
      <c r="AN39" s="164"/>
      <c r="AO39" s="170" t="s">
        <v>49</v>
      </c>
      <c r="AP39" s="70">
        <f t="shared" si="2"/>
        <v>0.49</v>
      </c>
      <c r="AQ39" s="72">
        <f>IF(head!F$82="S235",235,IF(head!F$82="S275",275,IF(head!F$82="S355",355,IF(head!F$82="S420",420,460))))^0.5*head!$G$70*1000/(S39*3.1416*210000^0.5)</f>
        <v>3.4008973497969581</v>
      </c>
      <c r="AR39" s="72">
        <f t="shared" si="3"/>
        <v>7.0672712426282409</v>
      </c>
      <c r="AS39" s="72">
        <f t="shared" si="4"/>
        <v>7.5400858854034594E-2</v>
      </c>
      <c r="AT39" s="52">
        <f>IF(head!F$82="S235",235,IF(head!F$82="S275",275,IF(head!F$82="S355",355,IF(head!F$82="S420",420,460))))*AS39*J39/1000</f>
        <v>51.188463009816672</v>
      </c>
      <c r="AU39" s="192" t="s">
        <v>47</v>
      </c>
      <c r="AV39" s="75" t="s">
        <v>47</v>
      </c>
      <c r="AW39" s="75" t="s">
        <v>47</v>
      </c>
      <c r="AX39" s="76" t="s">
        <v>47</v>
      </c>
      <c r="AY39" s="67" t="s">
        <v>47</v>
      </c>
      <c r="AZ39" s="193">
        <v>0</v>
      </c>
      <c r="BA39" s="169" t="str">
        <f t="shared" si="5"/>
        <v>CF CHS 114,3 x 6,3</v>
      </c>
      <c r="BB39" s="145"/>
    </row>
    <row r="40" spans="1:54" s="146" customFormat="1" ht="13.5" customHeight="1">
      <c r="A40" s="147" t="s">
        <v>326</v>
      </c>
      <c r="B40" s="62">
        <f t="shared" si="0"/>
        <v>56.571597875845917</v>
      </c>
      <c r="C40" s="149">
        <v>114.3</v>
      </c>
      <c r="D40" s="149"/>
      <c r="E40" s="150">
        <v>6.3</v>
      </c>
      <c r="F40" s="149"/>
      <c r="G40" s="149"/>
      <c r="H40" s="151">
        <v>16.779686185794581</v>
      </c>
      <c r="I40" s="152">
        <v>17.100317132019956</v>
      </c>
      <c r="J40" s="152">
        <v>2137.5396415024943</v>
      </c>
      <c r="K40" s="152">
        <v>0.35908404030531338</v>
      </c>
      <c r="L40" s="153">
        <v>3127137.6658570403</v>
      </c>
      <c r="M40" s="154">
        <v>54718.069393823971</v>
      </c>
      <c r="N40" s="154">
        <v>73566.54899999997</v>
      </c>
      <c r="O40" s="155">
        <v>38.248676447689007</v>
      </c>
      <c r="P40" s="154">
        <v>3127137.6658570403</v>
      </c>
      <c r="Q40" s="154">
        <v>54718.069393823971</v>
      </c>
      <c r="R40" s="154">
        <v>73566.54899999997</v>
      </c>
      <c r="S40" s="152">
        <v>38.248676447689007</v>
      </c>
      <c r="T40" s="153">
        <v>6254275.3317140806</v>
      </c>
      <c r="U40" s="156"/>
      <c r="V40" s="157">
        <v>1</v>
      </c>
      <c r="W40" s="158">
        <v>1</v>
      </c>
      <c r="X40" s="158">
        <v>1</v>
      </c>
      <c r="Y40" s="158">
        <v>1</v>
      </c>
      <c r="Z40" s="158">
        <v>1</v>
      </c>
      <c r="AA40" s="159">
        <v>1</v>
      </c>
      <c r="AB40" s="158">
        <v>1</v>
      </c>
      <c r="AC40" s="158">
        <v>1</v>
      </c>
      <c r="AD40" s="158">
        <v>1</v>
      </c>
      <c r="AE40" s="160">
        <v>1</v>
      </c>
      <c r="AF40" s="170">
        <v>1</v>
      </c>
      <c r="AG40" s="158">
        <v>1</v>
      </c>
      <c r="AH40" s="158">
        <v>1</v>
      </c>
      <c r="AI40" s="158">
        <v>1</v>
      </c>
      <c r="AJ40" s="158">
        <v>1</v>
      </c>
      <c r="AK40" s="73">
        <f t="shared" si="1"/>
        <v>167.98941798941806</v>
      </c>
      <c r="AL40" s="162"/>
      <c r="AM40" s="163"/>
      <c r="AN40" s="164"/>
      <c r="AO40" s="170" t="s">
        <v>49</v>
      </c>
      <c r="AP40" s="70">
        <f t="shared" si="2"/>
        <v>0.49</v>
      </c>
      <c r="AQ40" s="72">
        <f>IF(head!F$82="S235",235,IF(head!F$82="S275",275,IF(head!F$82="S355",355,IF(head!F$82="S420",420,460))))^0.5*head!$G$70*1000/(S40*3.1416*210000^0.5)</f>
        <v>3.4216629670962067</v>
      </c>
      <c r="AR40" s="72">
        <f t="shared" si="3"/>
        <v>7.1431961571373792</v>
      </c>
      <c r="AS40" s="72">
        <f t="shared" si="4"/>
        <v>7.4551419136612659E-2</v>
      </c>
      <c r="AT40" s="52">
        <f>IF(head!F$82="S235",235,IF(head!F$82="S275",275,IF(head!F$82="S355",355,IF(head!F$82="S420",420,460))))*AS40*J40/1000</f>
        <v>56.571597875845917</v>
      </c>
      <c r="AU40" s="192" t="s">
        <v>47</v>
      </c>
      <c r="AV40" s="75" t="s">
        <v>47</v>
      </c>
      <c r="AW40" s="75" t="s">
        <v>47</v>
      </c>
      <c r="AX40" s="76" t="s">
        <v>47</v>
      </c>
      <c r="AY40" s="67" t="s">
        <v>47</v>
      </c>
      <c r="AZ40" s="193">
        <v>0</v>
      </c>
      <c r="BA40" s="169" t="str">
        <f t="shared" si="5"/>
        <v>CF CHS 114,3 x 7,1</v>
      </c>
      <c r="BB40" s="145"/>
    </row>
    <row r="41" spans="1:54" s="146" customFormat="1" ht="13.5" customHeight="1">
      <c r="A41" s="147" t="s">
        <v>327</v>
      </c>
      <c r="B41" s="62">
        <f t="shared" si="0"/>
        <v>62.469862138737824</v>
      </c>
      <c r="C41" s="149">
        <v>114.3</v>
      </c>
      <c r="D41" s="149"/>
      <c r="E41" s="150" t="s">
        <v>825</v>
      </c>
      <c r="F41" s="149"/>
      <c r="G41" s="149"/>
      <c r="H41" s="151">
        <v>18.770362653927073</v>
      </c>
      <c r="I41" s="152">
        <v>19.129032004002113</v>
      </c>
      <c r="J41" s="152">
        <v>2391.1290005002643</v>
      </c>
      <c r="K41" s="152">
        <v>0.35908404030531338</v>
      </c>
      <c r="L41" s="153">
        <v>3449876.0882530222</v>
      </c>
      <c r="M41" s="154">
        <v>60365.285883692428</v>
      </c>
      <c r="N41" s="154">
        <v>81711.367666666687</v>
      </c>
      <c r="O41" s="155">
        <v>37.983960430687056</v>
      </c>
      <c r="P41" s="154">
        <v>3449876.0882530222</v>
      </c>
      <c r="Q41" s="154">
        <v>60365.285883692428</v>
      </c>
      <c r="R41" s="154">
        <v>81711.367666666687</v>
      </c>
      <c r="S41" s="152">
        <v>37.983960430687056</v>
      </c>
      <c r="T41" s="153">
        <v>6899752.1765060443</v>
      </c>
      <c r="U41" s="156"/>
      <c r="V41" s="157">
        <v>1</v>
      </c>
      <c r="W41" s="158">
        <v>1</v>
      </c>
      <c r="X41" s="158">
        <v>1</v>
      </c>
      <c r="Y41" s="158">
        <v>1</v>
      </c>
      <c r="Z41" s="158">
        <v>1</v>
      </c>
      <c r="AA41" s="159">
        <v>1</v>
      </c>
      <c r="AB41" s="158">
        <v>1</v>
      </c>
      <c r="AC41" s="158">
        <v>1</v>
      </c>
      <c r="AD41" s="158">
        <v>1</v>
      </c>
      <c r="AE41" s="160">
        <v>1</v>
      </c>
      <c r="AF41" s="170">
        <v>1</v>
      </c>
      <c r="AG41" s="158">
        <v>1</v>
      </c>
      <c r="AH41" s="158">
        <v>1</v>
      </c>
      <c r="AI41" s="158">
        <v>1</v>
      </c>
      <c r="AJ41" s="158">
        <v>1</v>
      </c>
      <c r="AK41" s="73">
        <f t="shared" si="1"/>
        <v>150.1734286314904</v>
      </c>
      <c r="AL41" s="162"/>
      <c r="AM41" s="163"/>
      <c r="AN41" s="164"/>
      <c r="AO41" s="170" t="s">
        <v>49</v>
      </c>
      <c r="AP41" s="70">
        <f t="shared" si="2"/>
        <v>0.49</v>
      </c>
      <c r="AQ41" s="72">
        <f>IF(head!F$82="S235",235,IF(head!F$82="S275",275,IF(head!F$82="S355",355,IF(head!F$82="S420",420,460))))^0.5*head!$G$70*1000/(S41*3.1416*210000^0.5)</f>
        <v>3.4455090584964334</v>
      </c>
      <c r="AR41" s="72">
        <f t="shared" si="3"/>
        <v>7.2309160554221155</v>
      </c>
      <c r="AS41" s="72">
        <f t="shared" si="4"/>
        <v>7.3593454224977289E-2</v>
      </c>
      <c r="AT41" s="52">
        <f>IF(head!F$82="S235",235,IF(head!F$82="S275",275,IF(head!F$82="S355",355,IF(head!F$82="S420",420,460))))*AS41*J41/1000</f>
        <v>62.469862138737824</v>
      </c>
      <c r="AU41" s="192" t="s">
        <v>47</v>
      </c>
      <c r="AV41" s="75" t="s">
        <v>47</v>
      </c>
      <c r="AW41" s="75" t="s">
        <v>47</v>
      </c>
      <c r="AX41" s="76" t="s">
        <v>47</v>
      </c>
      <c r="AY41" s="67" t="s">
        <v>47</v>
      </c>
      <c r="AZ41" s="193">
        <v>0</v>
      </c>
      <c r="BA41" s="169" t="str">
        <f t="shared" si="5"/>
        <v>CF CHS 114,3 x 8</v>
      </c>
      <c r="BB41" s="145"/>
    </row>
    <row r="42" spans="1:54" s="146" customFormat="1" ht="13.5" customHeight="1">
      <c r="A42" s="147" t="s">
        <v>328</v>
      </c>
      <c r="B42" s="62">
        <f t="shared" si="0"/>
        <v>68.791080276146843</v>
      </c>
      <c r="C42" s="149">
        <v>114.3</v>
      </c>
      <c r="D42" s="149"/>
      <c r="E42" s="150">
        <v>8</v>
      </c>
      <c r="F42" s="149"/>
      <c r="G42" s="149"/>
      <c r="H42" s="151">
        <v>20.972141582010167</v>
      </c>
      <c r="I42" s="152">
        <v>21.372883140902079</v>
      </c>
      <c r="J42" s="152">
        <v>2671.6103926127603</v>
      </c>
      <c r="K42" s="152">
        <v>0.35908404030531338</v>
      </c>
      <c r="L42" s="153">
        <v>3794919.0378037128</v>
      </c>
      <c r="M42" s="154">
        <v>66402.78281371326</v>
      </c>
      <c r="N42" s="154">
        <v>90568.186666666661</v>
      </c>
      <c r="O42" s="155">
        <v>37.689007017962155</v>
      </c>
      <c r="P42" s="154">
        <v>3794919.0378037128</v>
      </c>
      <c r="Q42" s="154">
        <v>66402.78281371326</v>
      </c>
      <c r="R42" s="154">
        <v>90568.186666666661</v>
      </c>
      <c r="S42" s="152">
        <v>37.689007017962155</v>
      </c>
      <c r="T42" s="153">
        <v>7589838.0756074255</v>
      </c>
      <c r="U42" s="156"/>
      <c r="V42" s="157">
        <v>1</v>
      </c>
      <c r="W42" s="158">
        <v>1</v>
      </c>
      <c r="X42" s="158">
        <v>1</v>
      </c>
      <c r="Y42" s="158">
        <v>1</v>
      </c>
      <c r="Z42" s="158">
        <v>1</v>
      </c>
      <c r="AA42" s="159">
        <v>1</v>
      </c>
      <c r="AB42" s="158">
        <v>1</v>
      </c>
      <c r="AC42" s="158">
        <v>1</v>
      </c>
      <c r="AD42" s="158">
        <v>1</v>
      </c>
      <c r="AE42" s="160">
        <v>1</v>
      </c>
      <c r="AF42" s="170">
        <v>1</v>
      </c>
      <c r="AG42" s="158">
        <v>1</v>
      </c>
      <c r="AH42" s="158">
        <v>1</v>
      </c>
      <c r="AI42" s="158">
        <v>1</v>
      </c>
      <c r="AJ42" s="158">
        <v>1</v>
      </c>
      <c r="AK42" s="73">
        <f t="shared" si="1"/>
        <v>134.40733772342426</v>
      </c>
      <c r="AL42" s="162"/>
      <c r="AM42" s="163"/>
      <c r="AN42" s="164"/>
      <c r="AO42" s="170" t="s">
        <v>49</v>
      </c>
      <c r="AP42" s="70">
        <f t="shared" si="2"/>
        <v>0.49</v>
      </c>
      <c r="AQ42" s="72">
        <f>IF(head!F$82="S235",235,IF(head!F$82="S275",275,IF(head!F$82="S355",355,IF(head!F$82="S420",420,460))))^0.5*head!$G$70*1000/(S42*3.1416*210000^0.5)</f>
        <v>3.4724735432570362</v>
      </c>
      <c r="AR42" s="72">
        <f t="shared" si="3"/>
        <v>7.3307922724080115</v>
      </c>
      <c r="AS42" s="72">
        <f t="shared" si="4"/>
        <v>7.2532166911214294E-2</v>
      </c>
      <c r="AT42" s="52">
        <f>IF(head!F$82="S235",235,IF(head!F$82="S275",275,IF(head!F$82="S355",355,IF(head!F$82="S420",420,460))))*AS42*J42/1000</f>
        <v>68.791080276146843</v>
      </c>
      <c r="AU42" s="192" t="s">
        <v>47</v>
      </c>
      <c r="AV42" s="75" t="s">
        <v>47</v>
      </c>
      <c r="AW42" s="75" t="s">
        <v>47</v>
      </c>
      <c r="AX42" s="76" t="s">
        <v>47</v>
      </c>
      <c r="AY42" s="67" t="s">
        <v>47</v>
      </c>
      <c r="AZ42" s="193">
        <v>0</v>
      </c>
      <c r="BA42" s="169" t="str">
        <f t="shared" si="5"/>
        <v>CF CHS 114,3 x 10</v>
      </c>
      <c r="BB42" s="145"/>
    </row>
    <row r="43" spans="1:54" s="146" customFormat="1" ht="13.5" customHeight="1">
      <c r="A43" s="147" t="s">
        <v>329</v>
      </c>
      <c r="B43" s="62">
        <f t="shared" si="0"/>
        <v>81.700550648645176</v>
      </c>
      <c r="C43" s="149">
        <v>114.3</v>
      </c>
      <c r="D43" s="149"/>
      <c r="E43" s="150" t="s">
        <v>828</v>
      </c>
      <c r="F43" s="149"/>
      <c r="G43" s="149"/>
      <c r="H43" s="151">
        <v>25.721946930899108</v>
      </c>
      <c r="I43" s="152">
        <v>26.21344910155323</v>
      </c>
      <c r="J43" s="152">
        <v>3276.6811376941541</v>
      </c>
      <c r="K43" s="152">
        <v>0.35908404030531338</v>
      </c>
      <c r="L43" s="153">
        <v>4496626.3879204867</v>
      </c>
      <c r="M43" s="154">
        <v>78681.12664777755</v>
      </c>
      <c r="N43" s="154">
        <v>109118.23333333334</v>
      </c>
      <c r="O43" s="155">
        <v>37.044719596725251</v>
      </c>
      <c r="P43" s="154">
        <v>4496626.3879204867</v>
      </c>
      <c r="Q43" s="154">
        <v>78681.12664777755</v>
      </c>
      <c r="R43" s="154">
        <v>109118.23333333334</v>
      </c>
      <c r="S43" s="152">
        <v>37.044719596725251</v>
      </c>
      <c r="T43" s="153">
        <v>8993252.7758409735</v>
      </c>
      <c r="U43" s="156"/>
      <c r="V43" s="157">
        <v>1</v>
      </c>
      <c r="W43" s="158">
        <v>1</v>
      </c>
      <c r="X43" s="158">
        <v>1</v>
      </c>
      <c r="Y43" s="158">
        <v>1</v>
      </c>
      <c r="Z43" s="158">
        <v>1</v>
      </c>
      <c r="AA43" s="159">
        <v>1</v>
      </c>
      <c r="AB43" s="158">
        <v>1</v>
      </c>
      <c r="AC43" s="158">
        <v>1</v>
      </c>
      <c r="AD43" s="158">
        <v>1</v>
      </c>
      <c r="AE43" s="160">
        <v>1</v>
      </c>
      <c r="AF43" s="170">
        <v>1</v>
      </c>
      <c r="AG43" s="158">
        <v>1</v>
      </c>
      <c r="AH43" s="158">
        <v>1</v>
      </c>
      <c r="AI43" s="158">
        <v>1</v>
      </c>
      <c r="AJ43" s="158">
        <v>1</v>
      </c>
      <c r="AK43" s="73">
        <f t="shared" si="1"/>
        <v>109.58772770853308</v>
      </c>
      <c r="AL43" s="162"/>
      <c r="AM43" s="163"/>
      <c r="AN43" s="164"/>
      <c r="AO43" s="170" t="s">
        <v>49</v>
      </c>
      <c r="AP43" s="70">
        <f t="shared" si="2"/>
        <v>0.49</v>
      </c>
      <c r="AQ43" s="72">
        <f>IF(head!F$82="S235",235,IF(head!F$82="S275",275,IF(head!F$82="S355",355,IF(head!F$82="S420",420,460))))^0.5*head!$G$70*1000/(S43*3.1416*210000^0.5)</f>
        <v>3.5328673334882414</v>
      </c>
      <c r="AR43" s="72">
        <f t="shared" si="3"/>
        <v>7.5571282947187779</v>
      </c>
      <c r="AS43" s="72">
        <f t="shared" si="4"/>
        <v>7.0236433306208462E-2</v>
      </c>
      <c r="AT43" s="52">
        <f>IF(head!F$82="S235",235,IF(head!F$82="S275",275,IF(head!F$82="S355",355,IF(head!F$82="S420",420,460))))*AS43*J43/1000</f>
        <v>81.700550648645176</v>
      </c>
      <c r="AU43" s="192" t="s">
        <v>47</v>
      </c>
      <c r="AV43" s="75" t="s">
        <v>47</v>
      </c>
      <c r="AW43" s="75" t="s">
        <v>47</v>
      </c>
      <c r="AX43" s="76" t="s">
        <v>47</v>
      </c>
      <c r="AY43" s="67" t="s">
        <v>47</v>
      </c>
      <c r="AZ43" s="193">
        <v>0</v>
      </c>
      <c r="BA43" s="169" t="str">
        <f t="shared" si="5"/>
        <v>CF CHS 114,3 x 12,5</v>
      </c>
      <c r="BB43" s="145"/>
    </row>
    <row r="44" spans="1:54" s="146" customFormat="1" ht="13.5" customHeight="1">
      <c r="A44" s="147" t="s">
        <v>330</v>
      </c>
      <c r="B44" s="62">
        <f t="shared" si="0"/>
        <v>95.779471547005357</v>
      </c>
      <c r="C44" s="149">
        <v>114.3</v>
      </c>
      <c r="D44" s="149"/>
      <c r="E44" s="150" t="s">
        <v>829</v>
      </c>
      <c r="F44" s="149"/>
      <c r="G44" s="149"/>
      <c r="H44" s="151">
        <v>31.381761715790141</v>
      </c>
      <c r="I44" s="152">
        <v>31.981413213544094</v>
      </c>
      <c r="J44" s="152">
        <v>3997.6766516930115</v>
      </c>
      <c r="K44" s="152">
        <v>0.35908404030531338</v>
      </c>
      <c r="L44" s="153">
        <v>5256689.945089764</v>
      </c>
      <c r="M44" s="154">
        <v>91980.576467012492</v>
      </c>
      <c r="N44" s="154">
        <v>130191.54166666667</v>
      </c>
      <c r="O44" s="155">
        <v>36.262049721437421</v>
      </c>
      <c r="P44" s="154">
        <v>5256689.945089764</v>
      </c>
      <c r="Q44" s="154">
        <v>91980.576467012492</v>
      </c>
      <c r="R44" s="154">
        <v>130191.54166666667</v>
      </c>
      <c r="S44" s="152">
        <v>36.262049721437421</v>
      </c>
      <c r="T44" s="153">
        <v>10513379.890179528</v>
      </c>
      <c r="U44" s="156"/>
      <c r="V44" s="157">
        <v>1</v>
      </c>
      <c r="W44" s="158">
        <v>1</v>
      </c>
      <c r="X44" s="158">
        <v>1</v>
      </c>
      <c r="Y44" s="158">
        <v>1</v>
      </c>
      <c r="Z44" s="158">
        <v>1</v>
      </c>
      <c r="AA44" s="159">
        <v>1</v>
      </c>
      <c r="AB44" s="158">
        <v>1</v>
      </c>
      <c r="AC44" s="158">
        <v>1</v>
      </c>
      <c r="AD44" s="158">
        <v>1</v>
      </c>
      <c r="AE44" s="160">
        <v>1</v>
      </c>
      <c r="AF44" s="170">
        <v>1</v>
      </c>
      <c r="AG44" s="158">
        <v>1</v>
      </c>
      <c r="AH44" s="158">
        <v>1</v>
      </c>
      <c r="AI44" s="158">
        <v>1</v>
      </c>
      <c r="AJ44" s="158">
        <v>1</v>
      </c>
      <c r="AK44" s="73">
        <f t="shared" si="1"/>
        <v>89.823182711198442</v>
      </c>
      <c r="AL44" s="162"/>
      <c r="AM44" s="163"/>
      <c r="AN44" s="164"/>
      <c r="AO44" s="170" t="s">
        <v>49</v>
      </c>
      <c r="AP44" s="70">
        <f t="shared" si="2"/>
        <v>0.49</v>
      </c>
      <c r="AQ44" s="72">
        <f>IF(head!F$82="S235",235,IF(head!F$82="S275",275,IF(head!F$82="S355",355,IF(head!F$82="S420",420,460))))^0.5*head!$G$70*1000/(S44*3.1416*210000^0.5)</f>
        <v>3.6091197476940238</v>
      </c>
      <c r="AR44" s="72">
        <f t="shared" si="3"/>
        <v>7.8481070147825225</v>
      </c>
      <c r="AS44" s="72">
        <f t="shared" si="4"/>
        <v>6.7489532498123131E-2</v>
      </c>
      <c r="AT44" s="52">
        <f>IF(head!F$82="S235",235,IF(head!F$82="S275",275,IF(head!F$82="S355",355,IF(head!F$82="S420",420,460))))*AS44*J44/1000</f>
        <v>95.779471547005357</v>
      </c>
      <c r="AU44" s="192" t="s">
        <v>47</v>
      </c>
      <c r="AV44" s="75" t="s">
        <v>47</v>
      </c>
      <c r="AW44" s="75" t="s">
        <v>47</v>
      </c>
      <c r="AX44" s="76" t="s">
        <v>47</v>
      </c>
      <c r="AY44" s="67" t="s">
        <v>47</v>
      </c>
      <c r="AZ44" s="193">
        <v>0</v>
      </c>
      <c r="BA44" s="169" t="str">
        <f t="shared" si="5"/>
        <v>CF CHS 114,3 x 14,2</v>
      </c>
      <c r="BB44" s="145"/>
    </row>
    <row r="45" spans="1:54" s="146" customFormat="1" ht="13.5" customHeight="1">
      <c r="A45" s="147" t="s">
        <v>331</v>
      </c>
      <c r="B45" s="62">
        <f t="shared" si="0"/>
        <v>104.15225374073715</v>
      </c>
      <c r="C45" s="149">
        <v>114.3</v>
      </c>
      <c r="D45" s="149"/>
      <c r="E45" s="150" t="s">
        <v>830</v>
      </c>
      <c r="F45" s="149"/>
      <c r="G45" s="149"/>
      <c r="H45" s="151">
        <v>35.054352642874981</v>
      </c>
      <c r="I45" s="152">
        <v>35.724181037324819</v>
      </c>
      <c r="J45" s="152">
        <v>4465.5226296656028</v>
      </c>
      <c r="K45" s="152">
        <v>0.35908404030531338</v>
      </c>
      <c r="L45" s="153">
        <v>5705626.1734401751</v>
      </c>
      <c r="M45" s="154">
        <v>99835.978537885836</v>
      </c>
      <c r="N45" s="154">
        <v>143238.57133333333</v>
      </c>
      <c r="O45" s="155">
        <v>35.745017135259559</v>
      </c>
      <c r="P45" s="154">
        <v>5705626.1734401751</v>
      </c>
      <c r="Q45" s="154">
        <v>99835.978537885836</v>
      </c>
      <c r="R45" s="154">
        <v>143238.57133333333</v>
      </c>
      <c r="S45" s="152">
        <v>35.745017135259559</v>
      </c>
      <c r="T45" s="153">
        <v>11411252.34688035</v>
      </c>
      <c r="U45" s="156"/>
      <c r="V45" s="157">
        <v>1</v>
      </c>
      <c r="W45" s="158">
        <v>1</v>
      </c>
      <c r="X45" s="158">
        <v>1</v>
      </c>
      <c r="Y45" s="158">
        <v>1</v>
      </c>
      <c r="Z45" s="158">
        <v>1</v>
      </c>
      <c r="AA45" s="159">
        <v>1</v>
      </c>
      <c r="AB45" s="158">
        <v>1</v>
      </c>
      <c r="AC45" s="158">
        <v>1</v>
      </c>
      <c r="AD45" s="158">
        <v>1</v>
      </c>
      <c r="AE45" s="160">
        <v>1</v>
      </c>
      <c r="AF45" s="170">
        <v>1</v>
      </c>
      <c r="AG45" s="158">
        <v>1</v>
      </c>
      <c r="AH45" s="158">
        <v>1</v>
      </c>
      <c r="AI45" s="158">
        <v>1</v>
      </c>
      <c r="AJ45" s="158">
        <v>1</v>
      </c>
      <c r="AK45" s="73">
        <f t="shared" si="1"/>
        <v>80.412545201277609</v>
      </c>
      <c r="AL45" s="162"/>
      <c r="AM45" s="163"/>
      <c r="AN45" s="164"/>
      <c r="AO45" s="170" t="s">
        <v>49</v>
      </c>
      <c r="AP45" s="70">
        <f t="shared" si="2"/>
        <v>0.49</v>
      </c>
      <c r="AQ45" s="72">
        <f>IF(head!F$82="S235",235,IF(head!F$82="S275",275,IF(head!F$82="S355",355,IF(head!F$82="S420",420,460))))^0.5*head!$G$70*1000/(S45*3.1416*210000^0.5)</f>
        <v>3.6613237376911396</v>
      </c>
      <c r="AR45" s="72">
        <f t="shared" si="3"/>
        <v>8.0506700718246371</v>
      </c>
      <c r="AS45" s="72">
        <f t="shared" si="4"/>
        <v>6.5700401629711969E-2</v>
      </c>
      <c r="AT45" s="52">
        <f>IF(head!F$82="S235",235,IF(head!F$82="S275",275,IF(head!F$82="S355",355,IF(head!F$82="S420",420,460))))*AS45*J45/1000</f>
        <v>104.15225374073715</v>
      </c>
      <c r="AU45" s="192" t="s">
        <v>47</v>
      </c>
      <c r="AV45" s="75" t="s">
        <v>47</v>
      </c>
      <c r="AW45" s="75" t="s">
        <v>47</v>
      </c>
      <c r="AX45" s="76" t="s">
        <v>47</v>
      </c>
      <c r="AY45" s="67" t="s">
        <v>47</v>
      </c>
      <c r="AZ45" s="193">
        <v>0</v>
      </c>
      <c r="BA45" s="169" t="str">
        <f t="shared" si="5"/>
        <v>CF CHS 114,3 x 16</v>
      </c>
      <c r="BB45" s="145"/>
    </row>
    <row r="46" spans="1:54" s="146" customFormat="1" ht="13.5" customHeight="1">
      <c r="A46" s="147" t="s">
        <v>332</v>
      </c>
      <c r="B46" s="62">
        <f t="shared" si="0"/>
        <v>112.04461745294965</v>
      </c>
      <c r="C46" s="149">
        <v>114.3</v>
      </c>
      <c r="D46" s="149"/>
      <c r="E46" s="150" t="s">
        <v>831</v>
      </c>
      <c r="F46" s="149"/>
      <c r="G46" s="149"/>
      <c r="H46" s="151">
        <v>38.78761086569331</v>
      </c>
      <c r="I46" s="152">
        <v>39.528775404528211</v>
      </c>
      <c r="J46" s="152">
        <v>4941.0969255660266</v>
      </c>
      <c r="K46" s="152">
        <v>0.35908404030531338</v>
      </c>
      <c r="L46" s="153">
        <v>6126274.610503451</v>
      </c>
      <c r="M46" s="154">
        <v>107196.40613304377</v>
      </c>
      <c r="N46" s="154">
        <v>155971.5733333333</v>
      </c>
      <c r="O46" s="155">
        <v>35.211663550590735</v>
      </c>
      <c r="P46" s="154">
        <v>6126274.610503451</v>
      </c>
      <c r="Q46" s="154">
        <v>107196.40613304377</v>
      </c>
      <c r="R46" s="154">
        <v>155971.5733333333</v>
      </c>
      <c r="S46" s="152">
        <v>35.211663550590735</v>
      </c>
      <c r="T46" s="153">
        <v>12252549.221006902</v>
      </c>
      <c r="U46" s="156"/>
      <c r="V46" s="157">
        <v>1</v>
      </c>
      <c r="W46" s="158">
        <v>1</v>
      </c>
      <c r="X46" s="158">
        <v>1</v>
      </c>
      <c r="Y46" s="158">
        <v>1</v>
      </c>
      <c r="Z46" s="158">
        <v>1</v>
      </c>
      <c r="AA46" s="159">
        <v>1</v>
      </c>
      <c r="AB46" s="158">
        <v>1</v>
      </c>
      <c r="AC46" s="158">
        <v>1</v>
      </c>
      <c r="AD46" s="158">
        <v>1</v>
      </c>
      <c r="AE46" s="160">
        <v>1</v>
      </c>
      <c r="AF46" s="170">
        <v>1</v>
      </c>
      <c r="AG46" s="158">
        <v>1</v>
      </c>
      <c r="AH46" s="158">
        <v>1</v>
      </c>
      <c r="AI46" s="158">
        <v>1</v>
      </c>
      <c r="AJ46" s="158">
        <v>1</v>
      </c>
      <c r="AK46" s="73">
        <f t="shared" si="1"/>
        <v>72.672939979654132</v>
      </c>
      <c r="AL46" s="162"/>
      <c r="AM46" s="163"/>
      <c r="AN46" s="164"/>
      <c r="AO46" s="170" t="s">
        <v>49</v>
      </c>
      <c r="AP46" s="70">
        <f t="shared" si="2"/>
        <v>0.49</v>
      </c>
      <c r="AQ46" s="72">
        <f>IF(head!F$82="S235",235,IF(head!F$82="S275",275,IF(head!F$82="S355",355,IF(head!F$82="S420",420,460))))^0.5*head!$G$70*1000/(S46*3.1416*210000^0.5)</f>
        <v>3.7167820700509537</v>
      </c>
      <c r="AR46" s="72">
        <f t="shared" si="3"/>
        <v>8.2688460852886099</v>
      </c>
      <c r="AS46" s="72">
        <f t="shared" si="4"/>
        <v>6.3876229401506543E-2</v>
      </c>
      <c r="AT46" s="52">
        <f>IF(head!F$82="S235",235,IF(head!F$82="S275",275,IF(head!F$82="S355",355,IF(head!F$82="S420",420,460))))*AS46*J46/1000</f>
        <v>112.04461745294965</v>
      </c>
      <c r="AU46" s="192" t="s">
        <v>47</v>
      </c>
      <c r="AV46" s="75" t="s">
        <v>47</v>
      </c>
      <c r="AW46" s="75" t="s">
        <v>47</v>
      </c>
      <c r="AX46" s="76" t="s">
        <v>47</v>
      </c>
      <c r="AY46" s="67" t="s">
        <v>47</v>
      </c>
      <c r="AZ46" s="193">
        <v>0</v>
      </c>
      <c r="BA46" s="169" t="str">
        <f t="shared" si="5"/>
        <v>CF CHS 114,3 x 17,5</v>
      </c>
      <c r="BB46" s="145"/>
    </row>
    <row r="47" spans="1:54" s="146" customFormat="1" ht="13.5" customHeight="1">
      <c r="A47" s="147" t="s">
        <v>333</v>
      </c>
      <c r="B47" s="62">
        <f t="shared" si="0"/>
        <v>117.91189418981011</v>
      </c>
      <c r="C47" s="149">
        <v>114.3</v>
      </c>
      <c r="D47" s="149"/>
      <c r="E47" s="150" t="s">
        <v>832</v>
      </c>
      <c r="F47" s="149"/>
      <c r="G47" s="149"/>
      <c r="H47" s="151">
        <v>41.77658494817171</v>
      </c>
      <c r="I47" s="152">
        <v>42.574863641448879</v>
      </c>
      <c r="J47" s="152">
        <v>5321.8579551811099</v>
      </c>
      <c r="K47" s="152">
        <v>0.35908404030531338</v>
      </c>
      <c r="L47" s="153">
        <v>6437113.1605913062</v>
      </c>
      <c r="M47" s="154">
        <v>112635.40088523721</v>
      </c>
      <c r="N47" s="154">
        <v>165765.65833333333</v>
      </c>
      <c r="O47" s="155">
        <v>34.778747102217466</v>
      </c>
      <c r="P47" s="154">
        <v>6437113.1605913062</v>
      </c>
      <c r="Q47" s="154">
        <v>112635.40088523721</v>
      </c>
      <c r="R47" s="154">
        <v>165765.65833333333</v>
      </c>
      <c r="S47" s="152">
        <v>34.778747102217466</v>
      </c>
      <c r="T47" s="153">
        <v>12874226.321182612</v>
      </c>
      <c r="U47" s="156"/>
      <c r="V47" s="157">
        <v>1</v>
      </c>
      <c r="W47" s="158">
        <v>1</v>
      </c>
      <c r="X47" s="158">
        <v>1</v>
      </c>
      <c r="Y47" s="158">
        <v>1</v>
      </c>
      <c r="Z47" s="158">
        <v>1</v>
      </c>
      <c r="AA47" s="159">
        <v>1</v>
      </c>
      <c r="AB47" s="158">
        <v>1</v>
      </c>
      <c r="AC47" s="158">
        <v>1</v>
      </c>
      <c r="AD47" s="158">
        <v>1</v>
      </c>
      <c r="AE47" s="160">
        <v>1</v>
      </c>
      <c r="AF47" s="170">
        <v>1</v>
      </c>
      <c r="AG47" s="158">
        <v>1</v>
      </c>
      <c r="AH47" s="158">
        <v>1</v>
      </c>
      <c r="AI47" s="158">
        <v>1</v>
      </c>
      <c r="AJ47" s="158">
        <v>1</v>
      </c>
      <c r="AK47" s="73">
        <f t="shared" si="1"/>
        <v>67.473435655253837</v>
      </c>
      <c r="AL47" s="162"/>
      <c r="AM47" s="163"/>
      <c r="AN47" s="164"/>
      <c r="AO47" s="170" t="s">
        <v>49</v>
      </c>
      <c r="AP47" s="70">
        <f t="shared" si="2"/>
        <v>0.49</v>
      </c>
      <c r="AQ47" s="72">
        <f>IF(head!F$82="S235",235,IF(head!F$82="S275",275,IF(head!F$82="S355",355,IF(head!F$82="S420",420,460))))^0.5*head!$G$70*1000/(S47*3.1416*210000^0.5)</f>
        <v>3.7630475691620853</v>
      </c>
      <c r="AR47" s="72">
        <f t="shared" si="3"/>
        <v>8.4532101583330501</v>
      </c>
      <c r="AS47" s="72">
        <f t="shared" si="4"/>
        <v>6.2411695992938832E-2</v>
      </c>
      <c r="AT47" s="52">
        <f>IF(head!F$82="S235",235,IF(head!F$82="S275",275,IF(head!F$82="S355",355,IF(head!F$82="S420",420,460))))*AS47*J47/1000</f>
        <v>117.91189418981011</v>
      </c>
      <c r="AU47" s="192" t="s">
        <v>47</v>
      </c>
      <c r="AV47" s="75" t="s">
        <v>47</v>
      </c>
      <c r="AW47" s="75" t="s">
        <v>47</v>
      </c>
      <c r="AX47" s="76" t="s">
        <v>47</v>
      </c>
      <c r="AY47" s="67" t="s">
        <v>47</v>
      </c>
      <c r="AZ47" s="193">
        <v>0</v>
      </c>
      <c r="BA47" s="169" t="str">
        <f t="shared" si="5"/>
        <v>CF CHS 114,3 x 20</v>
      </c>
      <c r="BB47" s="145"/>
    </row>
    <row r="48" spans="1:54" s="146" customFormat="1" ht="13.5" customHeight="1">
      <c r="A48" s="147" t="s">
        <v>334</v>
      </c>
      <c r="B48" s="62">
        <f t="shared" si="0"/>
        <v>126.38050129760563</v>
      </c>
      <c r="C48" s="149">
        <v>114.3</v>
      </c>
      <c r="D48" s="149"/>
      <c r="E48" s="150" t="s">
        <v>833</v>
      </c>
      <c r="F48" s="149"/>
      <c r="G48" s="149"/>
      <c r="H48" s="151">
        <v>46.511593395662246</v>
      </c>
      <c r="I48" s="152">
        <v>47.400349957362799</v>
      </c>
      <c r="J48" s="152">
        <v>5925.04374467035</v>
      </c>
      <c r="K48" s="152">
        <v>0.35908404030531338</v>
      </c>
      <c r="L48" s="153">
        <v>6882301.2183639714</v>
      </c>
      <c r="M48" s="154">
        <v>120425.21816909839</v>
      </c>
      <c r="N48" s="154">
        <v>180516.46666666667</v>
      </c>
      <c r="O48" s="155">
        <v>34.081684964215015</v>
      </c>
      <c r="P48" s="154">
        <v>6882301.2183639714</v>
      </c>
      <c r="Q48" s="154">
        <v>120425.21816909839</v>
      </c>
      <c r="R48" s="154">
        <v>180516.46666666667</v>
      </c>
      <c r="S48" s="152">
        <v>34.081684964215015</v>
      </c>
      <c r="T48" s="153">
        <v>13764602.436727943</v>
      </c>
      <c r="U48" s="156"/>
      <c r="V48" s="157">
        <v>1</v>
      </c>
      <c r="W48" s="158">
        <v>1</v>
      </c>
      <c r="X48" s="158">
        <v>1</v>
      </c>
      <c r="Y48" s="158">
        <v>1</v>
      </c>
      <c r="Z48" s="158">
        <v>1</v>
      </c>
      <c r="AA48" s="159">
        <v>1</v>
      </c>
      <c r="AB48" s="158">
        <v>1</v>
      </c>
      <c r="AC48" s="158">
        <v>1</v>
      </c>
      <c r="AD48" s="158">
        <v>1</v>
      </c>
      <c r="AE48" s="160">
        <v>1</v>
      </c>
      <c r="AF48" s="170">
        <v>1</v>
      </c>
      <c r="AG48" s="158">
        <v>1</v>
      </c>
      <c r="AH48" s="158">
        <v>1</v>
      </c>
      <c r="AI48" s="158">
        <v>1</v>
      </c>
      <c r="AJ48" s="158">
        <v>1</v>
      </c>
      <c r="AK48" s="73">
        <f t="shared" si="1"/>
        <v>60.604453870625662</v>
      </c>
      <c r="AL48" s="162"/>
      <c r="AM48" s="163"/>
      <c r="AN48" s="164"/>
      <c r="AO48" s="170" t="s">
        <v>49</v>
      </c>
      <c r="AP48" s="70">
        <f t="shared" si="2"/>
        <v>0.49</v>
      </c>
      <c r="AQ48" s="72">
        <f>IF(head!F$82="S235",235,IF(head!F$82="S275",275,IF(head!F$82="S355",355,IF(head!F$82="S420",420,460))))^0.5*head!$G$70*1000/(S48*3.1416*210000^0.5)</f>
        <v>3.8400120146324079</v>
      </c>
      <c r="AR48" s="72">
        <f t="shared" si="3"/>
        <v>8.7646490798455616</v>
      </c>
      <c r="AS48" s="72">
        <f t="shared" si="4"/>
        <v>6.008418291023742E-2</v>
      </c>
      <c r="AT48" s="52">
        <f>IF(head!F$82="S235",235,IF(head!F$82="S275",275,IF(head!F$82="S355",355,IF(head!F$82="S420",420,460))))*AS48*J48/1000</f>
        <v>126.38050129760563</v>
      </c>
      <c r="AU48" s="192" t="s">
        <v>47</v>
      </c>
      <c r="AV48" s="75" t="s">
        <v>47</v>
      </c>
      <c r="AW48" s="75" t="s">
        <v>47</v>
      </c>
      <c r="AX48" s="76" t="s">
        <v>47</v>
      </c>
      <c r="AY48" s="67" t="s">
        <v>47</v>
      </c>
      <c r="AZ48" s="193">
        <v>0</v>
      </c>
      <c r="BA48" s="169" t="str">
        <f t="shared" si="5"/>
        <v>CF CHS 121 x 5</v>
      </c>
      <c r="BB48" s="145"/>
    </row>
    <row r="49" spans="1:54" s="146" customFormat="1" ht="13.5" customHeight="1">
      <c r="A49" s="147" t="s">
        <v>335</v>
      </c>
      <c r="B49" s="62">
        <f t="shared" si="0"/>
        <v>54.983752263457625</v>
      </c>
      <c r="C49" s="149">
        <v>121</v>
      </c>
      <c r="D49" s="149"/>
      <c r="E49" s="150">
        <v>5</v>
      </c>
      <c r="F49" s="149"/>
      <c r="G49" s="149"/>
      <c r="H49" s="151">
        <v>14.303671351794328</v>
      </c>
      <c r="I49" s="152">
        <v>14.576989912656641</v>
      </c>
      <c r="J49" s="152">
        <v>1822.12373908208</v>
      </c>
      <c r="K49" s="152">
        <v>0.38013271108436497</v>
      </c>
      <c r="L49" s="153">
        <v>3070506.26582069</v>
      </c>
      <c r="M49" s="154">
        <v>50752.169682986612</v>
      </c>
      <c r="N49" s="154">
        <v>67321.666666666672</v>
      </c>
      <c r="O49" s="155">
        <v>41.050274055114421</v>
      </c>
      <c r="P49" s="154">
        <v>3070506.26582069</v>
      </c>
      <c r="Q49" s="154">
        <v>50752.169682986612</v>
      </c>
      <c r="R49" s="154">
        <v>67321.666666666672</v>
      </c>
      <c r="S49" s="152">
        <v>41.050274055114421</v>
      </c>
      <c r="T49" s="153">
        <v>6141012.5316413799</v>
      </c>
      <c r="U49" s="156"/>
      <c r="V49" s="157">
        <v>1</v>
      </c>
      <c r="W49" s="158">
        <v>1</v>
      </c>
      <c r="X49" s="158">
        <v>1</v>
      </c>
      <c r="Y49" s="158">
        <v>1</v>
      </c>
      <c r="Z49" s="158">
        <v>1</v>
      </c>
      <c r="AA49" s="159">
        <v>1</v>
      </c>
      <c r="AB49" s="158">
        <v>1</v>
      </c>
      <c r="AC49" s="158">
        <v>2</v>
      </c>
      <c r="AD49" s="158">
        <v>2</v>
      </c>
      <c r="AE49" s="160">
        <v>2</v>
      </c>
      <c r="AF49" s="170">
        <v>1</v>
      </c>
      <c r="AG49" s="158">
        <v>1</v>
      </c>
      <c r="AH49" s="158">
        <v>2</v>
      </c>
      <c r="AI49" s="158">
        <v>2</v>
      </c>
      <c r="AJ49" s="158">
        <v>2</v>
      </c>
      <c r="AK49" s="73">
        <f t="shared" si="1"/>
        <v>208.62068965517241</v>
      </c>
      <c r="AL49" s="162"/>
      <c r="AM49" s="163"/>
      <c r="AN49" s="164"/>
      <c r="AO49" s="170" t="s">
        <v>49</v>
      </c>
      <c r="AP49" s="70">
        <f t="shared" si="2"/>
        <v>0.49</v>
      </c>
      <c r="AQ49" s="72">
        <f>IF(head!F$82="S235",235,IF(head!F$82="S275",275,IF(head!F$82="S355",355,IF(head!F$82="S420",420,460))))^0.5*head!$G$70*1000/(S49*3.1416*210000^0.5)</f>
        <v>3.1881414376379018</v>
      </c>
      <c r="AR49" s="72">
        <f t="shared" si="3"/>
        <v>6.3142175654132195</v>
      </c>
      <c r="AS49" s="72">
        <f t="shared" si="4"/>
        <v>8.500180633773162E-2</v>
      </c>
      <c r="AT49" s="52">
        <f>IF(head!F$82="S235",235,IF(head!F$82="S275",275,IF(head!F$82="S355",355,IF(head!F$82="S420",420,460))))*AS49*J49/1000</f>
        <v>54.983752263457625</v>
      </c>
      <c r="AU49" s="192" t="s">
        <v>47</v>
      </c>
      <c r="AV49" s="75" t="s">
        <v>47</v>
      </c>
      <c r="AW49" s="75" t="s">
        <v>47</v>
      </c>
      <c r="AX49" s="76" t="s">
        <v>47</v>
      </c>
      <c r="AY49" s="67" t="s">
        <v>47</v>
      </c>
      <c r="AZ49" s="193">
        <v>0</v>
      </c>
      <c r="BA49" s="169" t="str">
        <f t="shared" si="5"/>
        <v>CF CHS 121 x 5,6</v>
      </c>
      <c r="BB49" s="145"/>
    </row>
    <row r="50" spans="1:54" s="146" customFormat="1" ht="13.5" customHeight="1">
      <c r="A50" s="147" t="s">
        <v>336</v>
      </c>
      <c r="B50" s="62">
        <f t="shared" si="0"/>
        <v>60.706134015217579</v>
      </c>
      <c r="C50" s="149">
        <v>121</v>
      </c>
      <c r="D50" s="149"/>
      <c r="E50" s="150" t="s">
        <v>823</v>
      </c>
      <c r="F50" s="149"/>
      <c r="G50" s="149"/>
      <c r="H50" s="151">
        <v>15.937249266178569</v>
      </c>
      <c r="I50" s="152">
        <v>16.24178269164695</v>
      </c>
      <c r="J50" s="152">
        <v>2030.2228364558687</v>
      </c>
      <c r="K50" s="152">
        <v>0.38013271108436497</v>
      </c>
      <c r="L50" s="153">
        <v>3387558.7671109857</v>
      </c>
      <c r="M50" s="154">
        <v>55992.706894396455</v>
      </c>
      <c r="N50" s="154">
        <v>74634.634666666694</v>
      </c>
      <c r="O50" s="155">
        <v>40.848072169932323</v>
      </c>
      <c r="P50" s="154">
        <v>3387558.7671109857</v>
      </c>
      <c r="Q50" s="154">
        <v>55992.706894396455</v>
      </c>
      <c r="R50" s="154">
        <v>74634.634666666694</v>
      </c>
      <c r="S50" s="152">
        <v>40.848072169932323</v>
      </c>
      <c r="T50" s="153">
        <v>6775117.5342219714</v>
      </c>
      <c r="U50" s="156"/>
      <c r="V50" s="157">
        <v>1</v>
      </c>
      <c r="W50" s="158">
        <v>1</v>
      </c>
      <c r="X50" s="158">
        <v>1</v>
      </c>
      <c r="Y50" s="158">
        <v>1</v>
      </c>
      <c r="Z50" s="158">
        <v>1</v>
      </c>
      <c r="AA50" s="159">
        <v>1</v>
      </c>
      <c r="AB50" s="158">
        <v>1</v>
      </c>
      <c r="AC50" s="158">
        <v>1</v>
      </c>
      <c r="AD50" s="158">
        <v>2</v>
      </c>
      <c r="AE50" s="160">
        <v>2</v>
      </c>
      <c r="AF50" s="170">
        <v>1</v>
      </c>
      <c r="AG50" s="158">
        <v>1</v>
      </c>
      <c r="AH50" s="158">
        <v>1</v>
      </c>
      <c r="AI50" s="158">
        <v>2</v>
      </c>
      <c r="AJ50" s="158">
        <v>2</v>
      </c>
      <c r="AK50" s="73">
        <f t="shared" si="1"/>
        <v>187.23693983659314</v>
      </c>
      <c r="AL50" s="162"/>
      <c r="AM50" s="163"/>
      <c r="AN50" s="164"/>
      <c r="AO50" s="170" t="s">
        <v>49</v>
      </c>
      <c r="AP50" s="70">
        <f t="shared" si="2"/>
        <v>0.49</v>
      </c>
      <c r="AQ50" s="72">
        <f>IF(head!F$82="S235",235,IF(head!F$82="S275",275,IF(head!F$82="S355",355,IF(head!F$82="S420",420,460))))^0.5*head!$G$70*1000/(S50*3.1416*210000^0.5)</f>
        <v>3.2039230443251343</v>
      </c>
      <c r="AR50" s="72">
        <f t="shared" si="3"/>
        <v>6.3685225828384766</v>
      </c>
      <c r="AS50" s="72">
        <f t="shared" si="4"/>
        <v>8.4228780869976552E-2</v>
      </c>
      <c r="AT50" s="52">
        <f>IF(head!F$82="S235",235,IF(head!F$82="S275",275,IF(head!F$82="S355",355,IF(head!F$82="S420",420,460))))*AS50*J50/1000</f>
        <v>60.706134015217579</v>
      </c>
      <c r="AU50" s="192" t="s">
        <v>47</v>
      </c>
      <c r="AV50" s="75" t="s">
        <v>47</v>
      </c>
      <c r="AW50" s="75" t="s">
        <v>47</v>
      </c>
      <c r="AX50" s="76" t="s">
        <v>47</v>
      </c>
      <c r="AY50" s="67" t="s">
        <v>47</v>
      </c>
      <c r="AZ50" s="193">
        <v>0</v>
      </c>
      <c r="BA50" s="169" t="str">
        <f t="shared" si="5"/>
        <v>CF CHS 121 x 6,3</v>
      </c>
      <c r="BB50" s="145"/>
    </row>
    <row r="51" spans="1:54" s="146" customFormat="1" ht="13.5" customHeight="1">
      <c r="A51" s="147" t="s">
        <v>337</v>
      </c>
      <c r="B51" s="62">
        <f t="shared" si="0"/>
        <v>67.160940305960551</v>
      </c>
      <c r="C51" s="149">
        <v>121</v>
      </c>
      <c r="D51" s="149"/>
      <c r="E51" s="150">
        <v>6.3</v>
      </c>
      <c r="F51" s="149"/>
      <c r="G51" s="149"/>
      <c r="H51" s="151">
        <v>17.820648199172574</v>
      </c>
      <c r="I51" s="152">
        <v>18.161170139284152</v>
      </c>
      <c r="J51" s="152">
        <v>2270.1462674105192</v>
      </c>
      <c r="K51" s="152">
        <v>0.38013271108436497</v>
      </c>
      <c r="L51" s="153">
        <v>3744543.839071298</v>
      </c>
      <c r="M51" s="154">
        <v>61893.286596219798</v>
      </c>
      <c r="N51" s="154">
        <v>82966.715999999971</v>
      </c>
      <c r="O51" s="155">
        <v>40.613698427993484</v>
      </c>
      <c r="P51" s="154">
        <v>3744543.839071298</v>
      </c>
      <c r="Q51" s="154">
        <v>61893.286596219798</v>
      </c>
      <c r="R51" s="154">
        <v>82966.715999999971</v>
      </c>
      <c r="S51" s="152">
        <v>40.613698427993484</v>
      </c>
      <c r="T51" s="153">
        <v>7489087.678142596</v>
      </c>
      <c r="U51" s="156"/>
      <c r="V51" s="157">
        <v>1</v>
      </c>
      <c r="W51" s="158">
        <v>1</v>
      </c>
      <c r="X51" s="158">
        <v>1</v>
      </c>
      <c r="Y51" s="158">
        <v>1</v>
      </c>
      <c r="Z51" s="158">
        <v>1</v>
      </c>
      <c r="AA51" s="159">
        <v>1</v>
      </c>
      <c r="AB51" s="158">
        <v>1</v>
      </c>
      <c r="AC51" s="158">
        <v>1</v>
      </c>
      <c r="AD51" s="158">
        <v>1</v>
      </c>
      <c r="AE51" s="160">
        <v>2</v>
      </c>
      <c r="AF51" s="170">
        <v>1</v>
      </c>
      <c r="AG51" s="158">
        <v>1</v>
      </c>
      <c r="AH51" s="158">
        <v>1</v>
      </c>
      <c r="AI51" s="158">
        <v>1</v>
      </c>
      <c r="AJ51" s="158">
        <v>2</v>
      </c>
      <c r="AK51" s="73">
        <f t="shared" si="1"/>
        <v>167.44855454532882</v>
      </c>
      <c r="AL51" s="162"/>
      <c r="AM51" s="163"/>
      <c r="AN51" s="164"/>
      <c r="AO51" s="170" t="s">
        <v>49</v>
      </c>
      <c r="AP51" s="70">
        <f t="shared" si="2"/>
        <v>0.49</v>
      </c>
      <c r="AQ51" s="72">
        <f>IF(head!F$82="S235",235,IF(head!F$82="S275",275,IF(head!F$82="S355",355,IF(head!F$82="S420",420,460))))^0.5*head!$G$70*1000/(S51*3.1416*210000^0.5)</f>
        <v>3.2224122600786291</v>
      </c>
      <c r="AR51" s="72">
        <f t="shared" si="3"/>
        <v>6.4324613906717936</v>
      </c>
      <c r="AS51" s="72">
        <f t="shared" si="4"/>
        <v>8.3336369139126829E-2</v>
      </c>
      <c r="AT51" s="52">
        <f>IF(head!F$82="S235",235,IF(head!F$82="S275",275,IF(head!F$82="S355",355,IF(head!F$82="S420",420,460))))*AS51*J51/1000</f>
        <v>67.160940305960551</v>
      </c>
      <c r="AU51" s="192" t="s">
        <v>47</v>
      </c>
      <c r="AV51" s="75" t="s">
        <v>47</v>
      </c>
      <c r="AW51" s="75" t="s">
        <v>47</v>
      </c>
      <c r="AX51" s="76" t="s">
        <v>47</v>
      </c>
      <c r="AY51" s="67" t="s">
        <v>47</v>
      </c>
      <c r="AZ51" s="193">
        <v>0</v>
      </c>
      <c r="BA51" s="169" t="str">
        <f t="shared" si="5"/>
        <v>CF CHS 121 x 8</v>
      </c>
      <c r="BB51" s="145"/>
    </row>
    <row r="52" spans="1:54" s="146" customFormat="1" ht="13.5" customHeight="1">
      <c r="A52" s="147" t="s">
        <v>338</v>
      </c>
      <c r="B52" s="62">
        <f t="shared" si="0"/>
        <v>81.877637701802229</v>
      </c>
      <c r="C52" s="149">
        <v>121</v>
      </c>
      <c r="D52" s="149"/>
      <c r="E52" s="150">
        <v>8</v>
      </c>
      <c r="F52" s="149"/>
      <c r="G52" s="149"/>
      <c r="H52" s="151">
        <v>22.293998106934605</v>
      </c>
      <c r="I52" s="152">
        <v>22.719998070761381</v>
      </c>
      <c r="J52" s="152">
        <v>2839.9997588451729</v>
      </c>
      <c r="K52" s="152">
        <v>0.38013271108436497</v>
      </c>
      <c r="L52" s="153">
        <v>4555714.6131575136</v>
      </c>
      <c r="M52" s="154">
        <v>75301.067986074617</v>
      </c>
      <c r="N52" s="154">
        <v>102322.66666666666</v>
      </c>
      <c r="O52" s="155">
        <v>40.05152930912876</v>
      </c>
      <c r="P52" s="154">
        <v>4555714.6131575136</v>
      </c>
      <c r="Q52" s="154">
        <v>75301.067986074617</v>
      </c>
      <c r="R52" s="154">
        <v>102322.66666666666</v>
      </c>
      <c r="S52" s="152">
        <v>40.05152930912876</v>
      </c>
      <c r="T52" s="153">
        <v>9111429.2263150271</v>
      </c>
      <c r="U52" s="156"/>
      <c r="V52" s="157">
        <v>1</v>
      </c>
      <c r="W52" s="158">
        <v>1</v>
      </c>
      <c r="X52" s="158">
        <v>1</v>
      </c>
      <c r="Y52" s="158">
        <v>1</v>
      </c>
      <c r="Z52" s="158">
        <v>1</v>
      </c>
      <c r="AA52" s="159">
        <v>1</v>
      </c>
      <c r="AB52" s="158">
        <v>1</v>
      </c>
      <c r="AC52" s="158">
        <v>1</v>
      </c>
      <c r="AD52" s="158">
        <v>1</v>
      </c>
      <c r="AE52" s="160">
        <v>1</v>
      </c>
      <c r="AF52" s="170">
        <v>1</v>
      </c>
      <c r="AG52" s="158">
        <v>1</v>
      </c>
      <c r="AH52" s="158">
        <v>1</v>
      </c>
      <c r="AI52" s="158">
        <v>1</v>
      </c>
      <c r="AJ52" s="158">
        <v>1</v>
      </c>
      <c r="AK52" s="73">
        <f t="shared" si="1"/>
        <v>133.84955752212392</v>
      </c>
      <c r="AL52" s="162"/>
      <c r="AM52" s="163"/>
      <c r="AN52" s="164"/>
      <c r="AO52" s="170" t="s">
        <v>49</v>
      </c>
      <c r="AP52" s="70">
        <f t="shared" si="2"/>
        <v>0.49</v>
      </c>
      <c r="AQ52" s="72">
        <f>IF(head!F$82="S235",235,IF(head!F$82="S275",275,IF(head!F$82="S355",355,IF(head!F$82="S420",420,460))))^0.5*head!$G$70*1000/(S52*3.1416*210000^0.5)</f>
        <v>3.2676425095126849</v>
      </c>
      <c r="AR52" s="72">
        <f t="shared" si="3"/>
        <v>6.5903161998177859</v>
      </c>
      <c r="AS52" s="72">
        <f t="shared" si="4"/>
        <v>8.1211708643457309E-2</v>
      </c>
      <c r="AT52" s="52">
        <f>IF(head!F$82="S235",235,IF(head!F$82="S275",275,IF(head!F$82="S355",355,IF(head!F$82="S420",420,460))))*AS52*J52/1000</f>
        <v>81.877637701802229</v>
      </c>
      <c r="AU52" s="192" t="s">
        <v>47</v>
      </c>
      <c r="AV52" s="75" t="s">
        <v>47</v>
      </c>
      <c r="AW52" s="75" t="s">
        <v>47</v>
      </c>
      <c r="AX52" s="76" t="s">
        <v>47</v>
      </c>
      <c r="AY52" s="67" t="s">
        <v>47</v>
      </c>
      <c r="AZ52" s="193">
        <v>0</v>
      </c>
      <c r="BA52" s="169" t="str">
        <f t="shared" si="5"/>
        <v>CF CHS 121 x 10</v>
      </c>
      <c r="BB52" s="145"/>
    </row>
    <row r="53" spans="1:54" s="146" customFormat="1" ht="13.5" customHeight="1">
      <c r="A53" s="147" t="s">
        <v>339</v>
      </c>
      <c r="B53" s="62">
        <f t="shared" si="0"/>
        <v>97.537747519861213</v>
      </c>
      <c r="C53" s="149">
        <v>121</v>
      </c>
      <c r="D53" s="149"/>
      <c r="E53" s="150" t="s">
        <v>828</v>
      </c>
      <c r="F53" s="149"/>
      <c r="G53" s="149"/>
      <c r="H53" s="151">
        <v>27.374267587054661</v>
      </c>
      <c r="I53" s="152">
        <v>27.897342763877361</v>
      </c>
      <c r="J53" s="152">
        <v>3487.1678454846706</v>
      </c>
      <c r="K53" s="152">
        <v>0.38013271108436497</v>
      </c>
      <c r="L53" s="153">
        <v>5414263.9760956364</v>
      </c>
      <c r="M53" s="154">
        <v>89491.966547035307</v>
      </c>
      <c r="N53" s="154">
        <v>123543.33333333334</v>
      </c>
      <c r="O53" s="155">
        <v>39.403362800654463</v>
      </c>
      <c r="P53" s="154">
        <v>5414263.9760956364</v>
      </c>
      <c r="Q53" s="154">
        <v>89491.966547035307</v>
      </c>
      <c r="R53" s="154">
        <v>123543.33333333334</v>
      </c>
      <c r="S53" s="152">
        <v>39.403362800654463</v>
      </c>
      <c r="T53" s="153">
        <v>10828527.952191273</v>
      </c>
      <c r="U53" s="156"/>
      <c r="V53" s="157">
        <v>1</v>
      </c>
      <c r="W53" s="158">
        <v>1</v>
      </c>
      <c r="X53" s="158">
        <v>1</v>
      </c>
      <c r="Y53" s="158">
        <v>1</v>
      </c>
      <c r="Z53" s="158">
        <v>1</v>
      </c>
      <c r="AA53" s="159">
        <v>1</v>
      </c>
      <c r="AB53" s="158">
        <v>1</v>
      </c>
      <c r="AC53" s="158">
        <v>1</v>
      </c>
      <c r="AD53" s="158">
        <v>1</v>
      </c>
      <c r="AE53" s="160">
        <v>1</v>
      </c>
      <c r="AF53" s="170">
        <v>1</v>
      </c>
      <c r="AG53" s="158">
        <v>1</v>
      </c>
      <c r="AH53" s="158">
        <v>1</v>
      </c>
      <c r="AI53" s="158">
        <v>1</v>
      </c>
      <c r="AJ53" s="158">
        <v>1</v>
      </c>
      <c r="AK53" s="73">
        <f t="shared" si="1"/>
        <v>109.00900900900901</v>
      </c>
      <c r="AL53" s="162"/>
      <c r="AM53" s="163"/>
      <c r="AN53" s="164"/>
      <c r="AO53" s="170" t="s">
        <v>49</v>
      </c>
      <c r="AP53" s="70">
        <f t="shared" si="2"/>
        <v>0.49</v>
      </c>
      <c r="AQ53" s="72">
        <f>IF(head!F$82="S235",235,IF(head!F$82="S275",275,IF(head!F$82="S355",355,IF(head!F$82="S420",420,460))))^0.5*head!$G$70*1000/(S53*3.1416*210000^0.5)</f>
        <v>3.3213936689517429</v>
      </c>
      <c r="AR53" s="72">
        <f t="shared" si="3"/>
        <v>6.7805694009695365</v>
      </c>
      <c r="AS53" s="72">
        <f t="shared" si="4"/>
        <v>7.8790075654537065E-2</v>
      </c>
      <c r="AT53" s="52">
        <f>IF(head!F$82="S235",235,IF(head!F$82="S275",275,IF(head!F$82="S355",355,IF(head!F$82="S420",420,460))))*AS53*J53/1000</f>
        <v>97.537747519861213</v>
      </c>
      <c r="AU53" s="192" t="s">
        <v>47</v>
      </c>
      <c r="AV53" s="75" t="s">
        <v>47</v>
      </c>
      <c r="AW53" s="75" t="s">
        <v>47</v>
      </c>
      <c r="AX53" s="76" t="s">
        <v>47</v>
      </c>
      <c r="AY53" s="67" t="s">
        <v>47</v>
      </c>
      <c r="AZ53" s="193">
        <v>0</v>
      </c>
      <c r="BA53" s="169" t="str">
        <f t="shared" si="5"/>
        <v>CF CHS 121 x 12,5</v>
      </c>
      <c r="BB53" s="145"/>
    </row>
    <row r="54" spans="1:54" s="146" customFormat="1" ht="13.5" customHeight="1">
      <c r="A54" s="147" t="s">
        <v>340</v>
      </c>
      <c r="B54" s="62">
        <f t="shared" si="0"/>
        <v>114.77893402178576</v>
      </c>
      <c r="C54" s="149">
        <v>121</v>
      </c>
      <c r="D54" s="149"/>
      <c r="E54" s="150" t="s">
        <v>829</v>
      </c>
      <c r="F54" s="149"/>
      <c r="G54" s="149"/>
      <c r="H54" s="151">
        <v>33.447162535984582</v>
      </c>
      <c r="I54" s="152">
        <v>34.086280291449256</v>
      </c>
      <c r="J54" s="152">
        <v>4260.7850364311571</v>
      </c>
      <c r="K54" s="152">
        <v>0.38013271108436497</v>
      </c>
      <c r="L54" s="153">
        <v>6353096.788383632</v>
      </c>
      <c r="M54" s="154">
        <v>105009.86427080382</v>
      </c>
      <c r="N54" s="154">
        <v>147804.16666666669</v>
      </c>
      <c r="O54" s="155">
        <v>38.614278447227264</v>
      </c>
      <c r="P54" s="154">
        <v>6353096.788383632</v>
      </c>
      <c r="Q54" s="154">
        <v>105009.86427080382</v>
      </c>
      <c r="R54" s="154">
        <v>147804.16666666669</v>
      </c>
      <c r="S54" s="152">
        <v>38.614278447227264</v>
      </c>
      <c r="T54" s="153">
        <v>12706193.576767264</v>
      </c>
      <c r="U54" s="156"/>
      <c r="V54" s="157">
        <v>1</v>
      </c>
      <c r="W54" s="158">
        <v>1</v>
      </c>
      <c r="X54" s="158">
        <v>1</v>
      </c>
      <c r="Y54" s="158">
        <v>1</v>
      </c>
      <c r="Z54" s="158">
        <v>1</v>
      </c>
      <c r="AA54" s="159">
        <v>1</v>
      </c>
      <c r="AB54" s="158">
        <v>1</v>
      </c>
      <c r="AC54" s="158">
        <v>1</v>
      </c>
      <c r="AD54" s="158">
        <v>1</v>
      </c>
      <c r="AE54" s="160">
        <v>1</v>
      </c>
      <c r="AF54" s="170">
        <v>1</v>
      </c>
      <c r="AG54" s="158">
        <v>1</v>
      </c>
      <c r="AH54" s="158">
        <v>1</v>
      </c>
      <c r="AI54" s="158">
        <v>1</v>
      </c>
      <c r="AJ54" s="158">
        <v>1</v>
      </c>
      <c r="AK54" s="73">
        <f t="shared" si="1"/>
        <v>89.21658986175116</v>
      </c>
      <c r="AL54" s="162"/>
      <c r="AM54" s="163"/>
      <c r="AN54" s="164"/>
      <c r="AO54" s="170" t="s">
        <v>49</v>
      </c>
      <c r="AP54" s="70">
        <f t="shared" si="2"/>
        <v>0.49</v>
      </c>
      <c r="AQ54" s="72">
        <f>IF(head!F$82="S235",235,IF(head!F$82="S275",275,IF(head!F$82="S355",355,IF(head!F$82="S420",420,460))))^0.5*head!$G$70*1000/(S54*3.1416*210000^0.5)</f>
        <v>3.38926648390862</v>
      </c>
      <c r="AR54" s="72">
        <f t="shared" si="3"/>
        <v>7.0249339380307614</v>
      </c>
      <c r="AS54" s="72">
        <f t="shared" si="4"/>
        <v>7.588295071024119E-2</v>
      </c>
      <c r="AT54" s="52">
        <f>IF(head!F$82="S235",235,IF(head!F$82="S275",275,IF(head!F$82="S355",355,IF(head!F$82="S420",420,460))))*AS54*J54/1000</f>
        <v>114.77893402178576</v>
      </c>
      <c r="AU54" s="192" t="s">
        <v>47</v>
      </c>
      <c r="AV54" s="75" t="s">
        <v>47</v>
      </c>
      <c r="AW54" s="75" t="s">
        <v>47</v>
      </c>
      <c r="AX54" s="76" t="s">
        <v>47</v>
      </c>
      <c r="AY54" s="67" t="s">
        <v>47</v>
      </c>
      <c r="AZ54" s="193">
        <v>0</v>
      </c>
      <c r="BA54" s="169" t="str">
        <f t="shared" si="5"/>
        <v>CF CHS 121 x 16</v>
      </c>
      <c r="BB54" s="145"/>
    </row>
    <row r="55" spans="1:54" s="146" customFormat="1" ht="13.5" customHeight="1">
      <c r="A55" s="147" t="s">
        <v>341</v>
      </c>
      <c r="B55" s="62">
        <f t="shared" si="0"/>
        <v>134.97758060553878</v>
      </c>
      <c r="C55" s="149">
        <v>121</v>
      </c>
      <c r="D55" s="149"/>
      <c r="E55" s="150" t="s">
        <v>831</v>
      </c>
      <c r="F55" s="149"/>
      <c r="G55" s="149"/>
      <c r="H55" s="151">
        <v>41.431323915542194</v>
      </c>
      <c r="I55" s="152">
        <v>42.223005264246822</v>
      </c>
      <c r="J55" s="152">
        <v>5277.8756580308527</v>
      </c>
      <c r="K55" s="152">
        <v>0.38013271108436497</v>
      </c>
      <c r="L55" s="153">
        <v>7442464.412280756</v>
      </c>
      <c r="M55" s="154">
        <v>123015.94069885545</v>
      </c>
      <c r="N55" s="154">
        <v>177765.33333333334</v>
      </c>
      <c r="O55" s="155">
        <v>37.551631123028464</v>
      </c>
      <c r="P55" s="154">
        <v>7442464.412280756</v>
      </c>
      <c r="Q55" s="154">
        <v>123015.94069885545</v>
      </c>
      <c r="R55" s="154">
        <v>177765.33333333334</v>
      </c>
      <c r="S55" s="152">
        <v>37.551631123028464</v>
      </c>
      <c r="T55" s="153">
        <v>14884928.824561512</v>
      </c>
      <c r="U55" s="156"/>
      <c r="V55" s="157">
        <v>1</v>
      </c>
      <c r="W55" s="158">
        <v>1</v>
      </c>
      <c r="X55" s="158">
        <v>1</v>
      </c>
      <c r="Y55" s="158">
        <v>1</v>
      </c>
      <c r="Z55" s="158">
        <v>1</v>
      </c>
      <c r="AA55" s="159">
        <v>1</v>
      </c>
      <c r="AB55" s="158">
        <v>1</v>
      </c>
      <c r="AC55" s="158">
        <v>1</v>
      </c>
      <c r="AD55" s="158">
        <v>1</v>
      </c>
      <c r="AE55" s="160">
        <v>1</v>
      </c>
      <c r="AF55" s="170">
        <v>1</v>
      </c>
      <c r="AG55" s="158">
        <v>1</v>
      </c>
      <c r="AH55" s="158">
        <v>1</v>
      </c>
      <c r="AI55" s="158">
        <v>1</v>
      </c>
      <c r="AJ55" s="158">
        <v>1</v>
      </c>
      <c r="AK55" s="73">
        <f t="shared" si="1"/>
        <v>72.023809523809518</v>
      </c>
      <c r="AL55" s="162"/>
      <c r="AM55" s="163"/>
      <c r="AN55" s="164"/>
      <c r="AO55" s="170" t="s">
        <v>49</v>
      </c>
      <c r="AP55" s="70">
        <f t="shared" si="2"/>
        <v>0.49</v>
      </c>
      <c r="AQ55" s="72">
        <f>IF(head!F$82="S235",235,IF(head!F$82="S275",275,IF(head!F$82="S355",355,IF(head!F$82="S420",420,460))))^0.5*head!$G$70*1000/(S55*3.1416*210000^0.5)</f>
        <v>3.4851769637576164</v>
      </c>
      <c r="AR55" s="72">
        <f t="shared" si="3"/>
        <v>7.3780975904739954</v>
      </c>
      <c r="AS55" s="72">
        <f t="shared" si="4"/>
        <v>7.2040070958941105E-2</v>
      </c>
      <c r="AT55" s="52">
        <f>IF(head!F$82="S235",235,IF(head!F$82="S275",275,IF(head!F$82="S355",355,IF(head!F$82="S420",420,460))))*AS55*J55/1000</f>
        <v>134.97758060553878</v>
      </c>
      <c r="AU55" s="192" t="s">
        <v>47</v>
      </c>
      <c r="AV55" s="75" t="s">
        <v>47</v>
      </c>
      <c r="AW55" s="75" t="s">
        <v>47</v>
      </c>
      <c r="AX55" s="76" t="s">
        <v>47</v>
      </c>
      <c r="AY55" s="67" t="s">
        <v>47</v>
      </c>
      <c r="AZ55" s="193">
        <v>0</v>
      </c>
      <c r="BA55" s="169" t="str">
        <f t="shared" si="5"/>
        <v>CF CHS 121 x 17,5</v>
      </c>
      <c r="BB55" s="145"/>
    </row>
    <row r="56" spans="1:54" s="146" customFormat="1" ht="13.5" customHeight="1">
      <c r="A56" s="147" t="s">
        <v>342</v>
      </c>
      <c r="B56" s="62">
        <f t="shared" si="0"/>
        <v>142.36180413246279</v>
      </c>
      <c r="C56" s="149">
        <v>121</v>
      </c>
      <c r="D56" s="149"/>
      <c r="E56" s="150" t="s">
        <v>832</v>
      </c>
      <c r="F56" s="149"/>
      <c r="G56" s="149"/>
      <c r="H56" s="151">
        <v>44.668146096443927</v>
      </c>
      <c r="I56" s="152">
        <v>45.521677550516102</v>
      </c>
      <c r="J56" s="152">
        <v>5690.2096938145132</v>
      </c>
      <c r="K56" s="152">
        <v>0.38013271108436497</v>
      </c>
      <c r="L56" s="153">
        <v>7837196.9389119009</v>
      </c>
      <c r="M56" s="154">
        <v>129540.44527127109</v>
      </c>
      <c r="N56" s="154">
        <v>189250.83333333334</v>
      </c>
      <c r="O56" s="155">
        <v>37.112161079624556</v>
      </c>
      <c r="P56" s="154">
        <v>7837196.9389119009</v>
      </c>
      <c r="Q56" s="154">
        <v>129540.44527127109</v>
      </c>
      <c r="R56" s="154">
        <v>189250.83333333334</v>
      </c>
      <c r="S56" s="152">
        <v>37.112161079624556</v>
      </c>
      <c r="T56" s="153">
        <v>15674393.877823802</v>
      </c>
      <c r="U56" s="156"/>
      <c r="V56" s="157">
        <v>1</v>
      </c>
      <c r="W56" s="158">
        <v>1</v>
      </c>
      <c r="X56" s="158">
        <v>1</v>
      </c>
      <c r="Y56" s="158">
        <v>1</v>
      </c>
      <c r="Z56" s="158">
        <v>1</v>
      </c>
      <c r="AA56" s="159">
        <v>1</v>
      </c>
      <c r="AB56" s="158">
        <v>1</v>
      </c>
      <c r="AC56" s="158">
        <v>1</v>
      </c>
      <c r="AD56" s="158">
        <v>1</v>
      </c>
      <c r="AE56" s="160">
        <v>1</v>
      </c>
      <c r="AF56" s="170">
        <v>1</v>
      </c>
      <c r="AG56" s="158">
        <v>1</v>
      </c>
      <c r="AH56" s="158">
        <v>1</v>
      </c>
      <c r="AI56" s="158">
        <v>1</v>
      </c>
      <c r="AJ56" s="158">
        <v>1</v>
      </c>
      <c r="AK56" s="73">
        <f t="shared" si="1"/>
        <v>66.80469289164941</v>
      </c>
      <c r="AL56" s="162"/>
      <c r="AM56" s="163"/>
      <c r="AN56" s="164"/>
      <c r="AO56" s="170" t="s">
        <v>49</v>
      </c>
      <c r="AP56" s="70">
        <f t="shared" si="2"/>
        <v>0.49</v>
      </c>
      <c r="AQ56" s="72">
        <f>IF(head!F$82="S235",235,IF(head!F$82="S275",275,IF(head!F$82="S355",355,IF(head!F$82="S420",420,460))))^0.5*head!$G$70*1000/(S56*3.1416*210000^0.5)</f>
        <v>3.5264472866646206</v>
      </c>
      <c r="AR56" s="72">
        <f t="shared" si="3"/>
        <v>7.5328948180449649</v>
      </c>
      <c r="AS56" s="72">
        <f t="shared" si="4"/>
        <v>7.0475287932928316E-2</v>
      </c>
      <c r="AT56" s="52">
        <f>IF(head!F$82="S235",235,IF(head!F$82="S275",275,IF(head!F$82="S355",355,IF(head!F$82="S420",420,460))))*AS56*J56/1000</f>
        <v>142.36180413246279</v>
      </c>
      <c r="AU56" s="192" t="s">
        <v>47</v>
      </c>
      <c r="AV56" s="75" t="s">
        <v>47</v>
      </c>
      <c r="AW56" s="75" t="s">
        <v>47</v>
      </c>
      <c r="AX56" s="76" t="s">
        <v>47</v>
      </c>
      <c r="AY56" s="67" t="s">
        <v>47</v>
      </c>
      <c r="AZ56" s="193">
        <v>0</v>
      </c>
      <c r="BA56" s="169" t="str">
        <f t="shared" si="5"/>
        <v>CF CHS 121 x 20</v>
      </c>
      <c r="BB56" s="145"/>
    </row>
    <row r="57" spans="1:54" s="146" customFormat="1" ht="13.5" customHeight="1">
      <c r="A57" s="147" t="s">
        <v>343</v>
      </c>
      <c r="B57" s="62">
        <f t="shared" si="0"/>
        <v>153.14383489806542</v>
      </c>
      <c r="C57" s="149">
        <v>121</v>
      </c>
      <c r="D57" s="149"/>
      <c r="E57" s="150" t="s">
        <v>833</v>
      </c>
      <c r="F57" s="149"/>
      <c r="G57" s="149"/>
      <c r="H57" s="151">
        <v>49.816234707973344</v>
      </c>
      <c r="I57" s="152">
        <v>50.768137282011054</v>
      </c>
      <c r="J57" s="152">
        <v>6346.0171602513819</v>
      </c>
      <c r="K57" s="152">
        <v>0.38013271108436497</v>
      </c>
      <c r="L57" s="153">
        <v>8409265.9894781131</v>
      </c>
      <c r="M57" s="154">
        <v>138996.13205748945</v>
      </c>
      <c r="N57" s="154">
        <v>206686.66666666666</v>
      </c>
      <c r="O57" s="155">
        <v>36.402266412958411</v>
      </c>
      <c r="P57" s="154">
        <v>8409265.9894781131</v>
      </c>
      <c r="Q57" s="154">
        <v>138996.13205748945</v>
      </c>
      <c r="R57" s="154">
        <v>206686.66666666666</v>
      </c>
      <c r="S57" s="152">
        <v>36.402266412958411</v>
      </c>
      <c r="T57" s="153">
        <v>16818531.978956226</v>
      </c>
      <c r="U57" s="156"/>
      <c r="V57" s="157">
        <v>1</v>
      </c>
      <c r="W57" s="158">
        <v>1</v>
      </c>
      <c r="X57" s="158">
        <v>1</v>
      </c>
      <c r="Y57" s="158">
        <v>1</v>
      </c>
      <c r="Z57" s="158">
        <v>1</v>
      </c>
      <c r="AA57" s="159">
        <v>1</v>
      </c>
      <c r="AB57" s="158">
        <v>1</v>
      </c>
      <c r="AC57" s="158">
        <v>1</v>
      </c>
      <c r="AD57" s="158">
        <v>1</v>
      </c>
      <c r="AE57" s="160">
        <v>1</v>
      </c>
      <c r="AF57" s="170">
        <v>1</v>
      </c>
      <c r="AG57" s="158">
        <v>1</v>
      </c>
      <c r="AH57" s="158">
        <v>1</v>
      </c>
      <c r="AI57" s="158">
        <v>1</v>
      </c>
      <c r="AJ57" s="158">
        <v>1</v>
      </c>
      <c r="AK57" s="73">
        <f t="shared" si="1"/>
        <v>59.900990099009903</v>
      </c>
      <c r="AL57" s="162"/>
      <c r="AM57" s="163"/>
      <c r="AN57" s="164"/>
      <c r="AO57" s="170" t="s">
        <v>49</v>
      </c>
      <c r="AP57" s="70">
        <f t="shared" si="2"/>
        <v>0.49</v>
      </c>
      <c r="AQ57" s="72">
        <f>IF(head!F$82="S235",235,IF(head!F$82="S275",275,IF(head!F$82="S355",355,IF(head!F$82="S420",420,460))))^0.5*head!$G$70*1000/(S57*3.1416*210000^0.5)</f>
        <v>3.5952178981612541</v>
      </c>
      <c r="AR57" s="72">
        <f t="shared" si="3"/>
        <v>7.7946242526790197</v>
      </c>
      <c r="AS57" s="72">
        <f t="shared" si="4"/>
        <v>6.7978241048880825E-2</v>
      </c>
      <c r="AT57" s="52">
        <f>IF(head!F$82="S235",235,IF(head!F$82="S275",275,IF(head!F$82="S355",355,IF(head!F$82="S420",420,460))))*AS57*J57/1000</f>
        <v>153.14383489806542</v>
      </c>
      <c r="AU57" s="192" t="s">
        <v>47</v>
      </c>
      <c r="AV57" s="75" t="s">
        <v>47</v>
      </c>
      <c r="AW57" s="75" t="s">
        <v>47</v>
      </c>
      <c r="AX57" s="76" t="s">
        <v>47</v>
      </c>
      <c r="AY57" s="67" t="s">
        <v>47</v>
      </c>
      <c r="AZ57" s="193">
        <v>0</v>
      </c>
      <c r="BA57" s="169" t="str">
        <f t="shared" si="5"/>
        <v>CF CHS 127 x 5</v>
      </c>
      <c r="BB57" s="145"/>
    </row>
    <row r="58" spans="1:54" s="146" customFormat="1" ht="13.5" customHeight="1">
      <c r="A58" s="147" t="s">
        <v>344</v>
      </c>
      <c r="B58" s="62">
        <f t="shared" si="0"/>
        <v>63.45643404488402</v>
      </c>
      <c r="C58" s="149">
        <v>127</v>
      </c>
      <c r="D58" s="149"/>
      <c r="E58" s="150">
        <v>5</v>
      </c>
      <c r="F58" s="149"/>
      <c r="G58" s="149"/>
      <c r="H58" s="151">
        <v>15.043516421714724</v>
      </c>
      <c r="I58" s="152">
        <v>15.330972149518191</v>
      </c>
      <c r="J58" s="152">
        <v>1916.3715186897739</v>
      </c>
      <c r="K58" s="152">
        <v>0.39898226700590372</v>
      </c>
      <c r="L58" s="153">
        <v>3571397.8715182301</v>
      </c>
      <c r="M58" s="154">
        <v>56242.486165641414</v>
      </c>
      <c r="N58" s="154">
        <v>74461.666666666672</v>
      </c>
      <c r="O58" s="155">
        <v>43.16972318651117</v>
      </c>
      <c r="P58" s="154">
        <v>3571397.8715182301</v>
      </c>
      <c r="Q58" s="154">
        <v>56242.486165641414</v>
      </c>
      <c r="R58" s="154">
        <v>74461.666666666672</v>
      </c>
      <c r="S58" s="152">
        <v>43.16972318651117</v>
      </c>
      <c r="T58" s="153">
        <v>7142795.7430364601</v>
      </c>
      <c r="U58" s="156"/>
      <c r="V58" s="157">
        <v>1</v>
      </c>
      <c r="W58" s="158">
        <v>1</v>
      </c>
      <c r="X58" s="158">
        <v>1</v>
      </c>
      <c r="Y58" s="158">
        <v>1</v>
      </c>
      <c r="Z58" s="158">
        <v>1</v>
      </c>
      <c r="AA58" s="159">
        <v>1</v>
      </c>
      <c r="AB58" s="158">
        <v>1</v>
      </c>
      <c r="AC58" s="158">
        <v>2</v>
      </c>
      <c r="AD58" s="158">
        <v>2</v>
      </c>
      <c r="AE58" s="160">
        <v>2</v>
      </c>
      <c r="AF58" s="170">
        <v>1</v>
      </c>
      <c r="AG58" s="158">
        <v>1</v>
      </c>
      <c r="AH58" s="158">
        <v>2</v>
      </c>
      <c r="AI58" s="158">
        <v>2</v>
      </c>
      <c r="AJ58" s="158">
        <v>2</v>
      </c>
      <c r="AK58" s="73">
        <f t="shared" si="1"/>
        <v>208.19672131147541</v>
      </c>
      <c r="AL58" s="162"/>
      <c r="AM58" s="163"/>
      <c r="AN58" s="164"/>
      <c r="AO58" s="170" t="s">
        <v>49</v>
      </c>
      <c r="AP58" s="70">
        <f t="shared" si="2"/>
        <v>0.49</v>
      </c>
      <c r="AQ58" s="72">
        <f>IF(head!F$82="S235",235,IF(head!F$82="S275",275,IF(head!F$82="S355",355,IF(head!F$82="S420",420,460))))^0.5*head!$G$70*1000/(S58*3.1416*210000^0.5)</f>
        <v>3.0316173021557691</v>
      </c>
      <c r="AR58" s="72">
        <f t="shared" si="3"/>
        <v>5.7890979723932752</v>
      </c>
      <c r="AS58" s="72">
        <f t="shared" si="4"/>
        <v>9.3275503571721319E-2</v>
      </c>
      <c r="AT58" s="52">
        <f>IF(head!F$82="S235",235,IF(head!F$82="S275",275,IF(head!F$82="S355",355,IF(head!F$82="S420",420,460))))*AS58*J58/1000</f>
        <v>63.45643404488402</v>
      </c>
      <c r="AU58" s="192" t="s">
        <v>47</v>
      </c>
      <c r="AV58" s="75" t="s">
        <v>47</v>
      </c>
      <c r="AW58" s="75" t="s">
        <v>47</v>
      </c>
      <c r="AX58" s="76" t="s">
        <v>47</v>
      </c>
      <c r="AY58" s="67" t="s">
        <v>47</v>
      </c>
      <c r="AZ58" s="193">
        <v>0</v>
      </c>
      <c r="BA58" s="169" t="str">
        <f t="shared" si="5"/>
        <v>CF CHS 127 x 6,3</v>
      </c>
      <c r="BB58" s="145"/>
    </row>
    <row r="59" spans="1:54" s="146" customFormat="1" ht="13.5" customHeight="1">
      <c r="A59" s="147" t="s">
        <v>345</v>
      </c>
      <c r="B59" s="62">
        <f t="shared" si="0"/>
        <v>77.632510372517473</v>
      </c>
      <c r="C59" s="149">
        <v>127</v>
      </c>
      <c r="D59" s="149"/>
      <c r="E59" s="150">
        <v>6.3</v>
      </c>
      <c r="F59" s="149"/>
      <c r="G59" s="149"/>
      <c r="H59" s="151">
        <v>18.752852987272281</v>
      </c>
      <c r="I59" s="152">
        <v>19.111187757729713</v>
      </c>
      <c r="J59" s="152">
        <v>2388.8984697162141</v>
      </c>
      <c r="K59" s="152">
        <v>0.39898226700590372</v>
      </c>
      <c r="L59" s="153">
        <v>4362182.3559173765</v>
      </c>
      <c r="M59" s="154">
        <v>68695.785132557125</v>
      </c>
      <c r="N59" s="154">
        <v>91864.835999999967</v>
      </c>
      <c r="O59" s="155">
        <v>42.731984508094172</v>
      </c>
      <c r="P59" s="154">
        <v>4362182.3559173765</v>
      </c>
      <c r="Q59" s="154">
        <v>68695.785132557125</v>
      </c>
      <c r="R59" s="154">
        <v>91864.835999999967</v>
      </c>
      <c r="S59" s="152">
        <v>42.731984508094172</v>
      </c>
      <c r="T59" s="153">
        <v>8724364.7118347529</v>
      </c>
      <c r="U59" s="156"/>
      <c r="V59" s="157">
        <v>1</v>
      </c>
      <c r="W59" s="158">
        <v>1</v>
      </c>
      <c r="X59" s="158">
        <v>1</v>
      </c>
      <c r="Y59" s="158">
        <v>1</v>
      </c>
      <c r="Z59" s="158">
        <v>1</v>
      </c>
      <c r="AA59" s="159">
        <v>1</v>
      </c>
      <c r="AB59" s="158">
        <v>1</v>
      </c>
      <c r="AC59" s="158">
        <v>1</v>
      </c>
      <c r="AD59" s="158">
        <v>1</v>
      </c>
      <c r="AE59" s="160">
        <v>2</v>
      </c>
      <c r="AF59" s="170">
        <v>1</v>
      </c>
      <c r="AG59" s="158">
        <v>1</v>
      </c>
      <c r="AH59" s="158">
        <v>1</v>
      </c>
      <c r="AI59" s="158">
        <v>1</v>
      </c>
      <c r="AJ59" s="158">
        <v>2</v>
      </c>
      <c r="AK59" s="73">
        <f t="shared" si="1"/>
        <v>167.01516287266085</v>
      </c>
      <c r="AL59" s="162"/>
      <c r="AM59" s="163"/>
      <c r="AN59" s="164"/>
      <c r="AO59" s="170" t="s">
        <v>49</v>
      </c>
      <c r="AP59" s="70">
        <f t="shared" si="2"/>
        <v>0.49</v>
      </c>
      <c r="AQ59" s="72">
        <f>IF(head!F$82="S235",235,IF(head!F$82="S275",275,IF(head!F$82="S355",355,IF(head!F$82="S420",420,460))))^0.5*head!$G$70*1000/(S59*3.1416*210000^0.5)</f>
        <v>3.0626726384943002</v>
      </c>
      <c r="AR59" s="72">
        <f t="shared" si="3"/>
        <v>5.8913366417219226</v>
      </c>
      <c r="AS59" s="72">
        <f t="shared" si="4"/>
        <v>9.1541407298019892E-2</v>
      </c>
      <c r="AT59" s="52">
        <f>IF(head!F$82="S235",235,IF(head!F$82="S275",275,IF(head!F$82="S355",355,IF(head!F$82="S420",420,460))))*AS59*J59/1000</f>
        <v>77.632510372517473</v>
      </c>
      <c r="AU59" s="192" t="s">
        <v>47</v>
      </c>
      <c r="AV59" s="75" t="s">
        <v>47</v>
      </c>
      <c r="AW59" s="75" t="s">
        <v>47</v>
      </c>
      <c r="AX59" s="76" t="s">
        <v>47</v>
      </c>
      <c r="AY59" s="67" t="s">
        <v>47</v>
      </c>
      <c r="AZ59" s="193">
        <v>0</v>
      </c>
      <c r="BA59" s="169" t="str">
        <f t="shared" si="5"/>
        <v>CF CHS 127 x 7,1</v>
      </c>
      <c r="BB59" s="145"/>
    </row>
    <row r="60" spans="1:54" s="146" customFormat="1" ht="13.5" customHeight="1">
      <c r="A60" s="147" t="s">
        <v>346</v>
      </c>
      <c r="B60" s="62">
        <f t="shared" si="0"/>
        <v>85.913805710705432</v>
      </c>
      <c r="C60" s="149">
        <v>127</v>
      </c>
      <c r="D60" s="149"/>
      <c r="E60" s="150" t="s">
        <v>825</v>
      </c>
      <c r="F60" s="149"/>
      <c r="G60" s="149"/>
      <c r="H60" s="151">
        <v>20.994090319084471</v>
      </c>
      <c r="I60" s="152">
        <v>21.395251280595637</v>
      </c>
      <c r="J60" s="152">
        <v>2674.4064100744549</v>
      </c>
      <c r="K60" s="152">
        <v>0.39898226700590372</v>
      </c>
      <c r="L60" s="153">
        <v>4822763.7653032895</v>
      </c>
      <c r="M60" s="154">
        <v>75949.035674067549</v>
      </c>
      <c r="N60" s="154">
        <v>102188.97466666666</v>
      </c>
      <c r="O60" s="155">
        <v>42.465309371297415</v>
      </c>
      <c r="P60" s="154">
        <v>4822763.7653032895</v>
      </c>
      <c r="Q60" s="154">
        <v>75949.035674067549</v>
      </c>
      <c r="R60" s="154">
        <v>102188.97466666666</v>
      </c>
      <c r="S60" s="152">
        <v>42.465309371297415</v>
      </c>
      <c r="T60" s="153">
        <v>9645527.530606579</v>
      </c>
      <c r="U60" s="156"/>
      <c r="V60" s="157">
        <v>1</v>
      </c>
      <c r="W60" s="158">
        <v>1</v>
      </c>
      <c r="X60" s="158">
        <v>1</v>
      </c>
      <c r="Y60" s="158">
        <v>1</v>
      </c>
      <c r="Z60" s="158">
        <v>1</v>
      </c>
      <c r="AA60" s="159">
        <v>1</v>
      </c>
      <c r="AB60" s="158">
        <v>1</v>
      </c>
      <c r="AC60" s="158">
        <v>1</v>
      </c>
      <c r="AD60" s="158">
        <v>1</v>
      </c>
      <c r="AE60" s="160">
        <v>1</v>
      </c>
      <c r="AF60" s="170">
        <v>1</v>
      </c>
      <c r="AG60" s="158">
        <v>1</v>
      </c>
      <c r="AH60" s="158">
        <v>1</v>
      </c>
      <c r="AI60" s="158">
        <v>1</v>
      </c>
      <c r="AJ60" s="158">
        <v>1</v>
      </c>
      <c r="AK60" s="73">
        <f t="shared" si="1"/>
        <v>149.18535399217657</v>
      </c>
      <c r="AL60" s="162"/>
      <c r="AM60" s="163"/>
      <c r="AN60" s="164"/>
      <c r="AO60" s="170" t="s">
        <v>49</v>
      </c>
      <c r="AP60" s="70">
        <f t="shared" si="2"/>
        <v>0.49</v>
      </c>
      <c r="AQ60" s="72">
        <f>IF(head!F$82="S235",235,IF(head!F$82="S275",275,IF(head!F$82="S355",355,IF(head!F$82="S420",420,460))))^0.5*head!$G$70*1000/(S60*3.1416*210000^0.5)</f>
        <v>3.0819057173750628</v>
      </c>
      <c r="AR60" s="72">
        <f t="shared" si="3"/>
        <v>5.9551383261514408</v>
      </c>
      <c r="AS60" s="72">
        <f t="shared" si="4"/>
        <v>9.0491377600724773E-2</v>
      </c>
      <c r="AT60" s="52">
        <f>IF(head!F$82="S235",235,IF(head!F$82="S275",275,IF(head!F$82="S355",355,IF(head!F$82="S420",420,460))))*AS60*J60/1000</f>
        <v>85.913805710705432</v>
      </c>
      <c r="AU60" s="192" t="s">
        <v>47</v>
      </c>
      <c r="AV60" s="75" t="s">
        <v>47</v>
      </c>
      <c r="AW60" s="75" t="s">
        <v>47</v>
      </c>
      <c r="AX60" s="76" t="s">
        <v>47</v>
      </c>
      <c r="AY60" s="67" t="s">
        <v>47</v>
      </c>
      <c r="AZ60" s="193">
        <v>0</v>
      </c>
      <c r="BA60" s="169" t="str">
        <f t="shared" si="5"/>
        <v>CF CHS 127 x 8</v>
      </c>
      <c r="BB60" s="145"/>
    </row>
    <row r="61" spans="1:54" s="146" customFormat="1" ht="13.5" customHeight="1">
      <c r="A61" s="147" t="s">
        <v>347</v>
      </c>
      <c r="B61" s="62">
        <f t="shared" si="0"/>
        <v>94.840084827472282</v>
      </c>
      <c r="C61" s="149">
        <v>127</v>
      </c>
      <c r="D61" s="149"/>
      <c r="E61" s="150">
        <v>8</v>
      </c>
      <c r="F61" s="149"/>
      <c r="G61" s="149"/>
      <c r="H61" s="151">
        <v>23.477750218807238</v>
      </c>
      <c r="I61" s="152">
        <v>23.926369649739861</v>
      </c>
      <c r="J61" s="152">
        <v>2990.7962062174829</v>
      </c>
      <c r="K61" s="152">
        <v>0.39898226700590372</v>
      </c>
      <c r="L61" s="153">
        <v>5318009.5041804621</v>
      </c>
      <c r="M61" s="154">
        <v>83748.181168196257</v>
      </c>
      <c r="N61" s="154">
        <v>113458.66666666667</v>
      </c>
      <c r="O61" s="155">
        <v>42.167819483582498</v>
      </c>
      <c r="P61" s="154">
        <v>5318009.5041804621</v>
      </c>
      <c r="Q61" s="154">
        <v>83748.181168196257</v>
      </c>
      <c r="R61" s="154">
        <v>113458.66666666667</v>
      </c>
      <c r="S61" s="152">
        <v>42.167819483582498</v>
      </c>
      <c r="T61" s="153">
        <v>10636019.008360924</v>
      </c>
      <c r="U61" s="156"/>
      <c r="V61" s="157">
        <v>1</v>
      </c>
      <c r="W61" s="158">
        <v>1</v>
      </c>
      <c r="X61" s="158">
        <v>1</v>
      </c>
      <c r="Y61" s="158">
        <v>1</v>
      </c>
      <c r="Z61" s="158">
        <v>1</v>
      </c>
      <c r="AA61" s="159">
        <v>1</v>
      </c>
      <c r="AB61" s="158">
        <v>1</v>
      </c>
      <c r="AC61" s="158">
        <v>1</v>
      </c>
      <c r="AD61" s="158">
        <v>1</v>
      </c>
      <c r="AE61" s="160">
        <v>1</v>
      </c>
      <c r="AF61" s="170">
        <v>1</v>
      </c>
      <c r="AG61" s="158">
        <v>1</v>
      </c>
      <c r="AH61" s="158">
        <v>1</v>
      </c>
      <c r="AI61" s="158">
        <v>1</v>
      </c>
      <c r="AJ61" s="158">
        <v>1</v>
      </c>
      <c r="AK61" s="73">
        <f t="shared" si="1"/>
        <v>133.40336134453781</v>
      </c>
      <c r="AL61" s="162"/>
      <c r="AM61" s="163"/>
      <c r="AN61" s="164"/>
      <c r="AO61" s="170" t="s">
        <v>49</v>
      </c>
      <c r="AP61" s="70">
        <f t="shared" si="2"/>
        <v>0.49</v>
      </c>
      <c r="AQ61" s="72">
        <f>IF(head!F$82="S235",235,IF(head!F$82="S275",275,IF(head!F$82="S355",355,IF(head!F$82="S420",420,460))))^0.5*head!$G$70*1000/(S61*3.1416*210000^0.5)</f>
        <v>3.1036482641094714</v>
      </c>
      <c r="AR61" s="72">
        <f t="shared" si="3"/>
        <v>6.0277100983616876</v>
      </c>
      <c r="AS61" s="72">
        <f t="shared" si="4"/>
        <v>8.9325768159231142E-2</v>
      </c>
      <c r="AT61" s="52">
        <f>IF(head!F$82="S235",235,IF(head!F$82="S275",275,IF(head!F$82="S355",355,IF(head!F$82="S420",420,460))))*AS61*J61/1000</f>
        <v>94.840084827472282</v>
      </c>
      <c r="AU61" s="192" t="s">
        <v>47</v>
      </c>
      <c r="AV61" s="75" t="s">
        <v>47</v>
      </c>
      <c r="AW61" s="75" t="s">
        <v>47</v>
      </c>
      <c r="AX61" s="76" t="s">
        <v>47</v>
      </c>
      <c r="AY61" s="67" t="s">
        <v>47</v>
      </c>
      <c r="AZ61" s="193">
        <v>0</v>
      </c>
      <c r="BA61" s="169" t="str">
        <f t="shared" si="5"/>
        <v>CF CHS 127 x 10</v>
      </c>
      <c r="BB61" s="145"/>
    </row>
    <row r="62" spans="1:54" s="146" customFormat="1" ht="13.5" customHeight="1">
      <c r="A62" s="147" t="s">
        <v>348</v>
      </c>
      <c r="B62" s="62">
        <f t="shared" si="0"/>
        <v>113.25586500441872</v>
      </c>
      <c r="C62" s="149">
        <v>127</v>
      </c>
      <c r="D62" s="149"/>
      <c r="E62" s="150" t="s">
        <v>828</v>
      </c>
      <c r="F62" s="149"/>
      <c r="G62" s="149"/>
      <c r="H62" s="151">
        <v>28.853957726895455</v>
      </c>
      <c r="I62" s="152">
        <v>29.405307237600464</v>
      </c>
      <c r="J62" s="152">
        <v>3675.663404700058</v>
      </c>
      <c r="K62" s="152">
        <v>0.39898226700590372</v>
      </c>
      <c r="L62" s="153">
        <v>6335465.3359261379</v>
      </c>
      <c r="M62" s="154">
        <v>99771.107652380117</v>
      </c>
      <c r="N62" s="154">
        <v>137223.33333333334</v>
      </c>
      <c r="O62" s="155">
        <v>41.516562959859769</v>
      </c>
      <c r="P62" s="154">
        <v>6335465.3359261379</v>
      </c>
      <c r="Q62" s="154">
        <v>99771.107652380117</v>
      </c>
      <c r="R62" s="154">
        <v>137223.33333333334</v>
      </c>
      <c r="S62" s="152">
        <v>41.516562959859769</v>
      </c>
      <c r="T62" s="153">
        <v>12670930.671852276</v>
      </c>
      <c r="U62" s="156"/>
      <c r="V62" s="157">
        <v>1</v>
      </c>
      <c r="W62" s="158">
        <v>1</v>
      </c>
      <c r="X62" s="158">
        <v>1</v>
      </c>
      <c r="Y62" s="158">
        <v>1</v>
      </c>
      <c r="Z62" s="158">
        <v>1</v>
      </c>
      <c r="AA62" s="159">
        <v>1</v>
      </c>
      <c r="AB62" s="158">
        <v>1</v>
      </c>
      <c r="AC62" s="158">
        <v>1</v>
      </c>
      <c r="AD62" s="158">
        <v>1</v>
      </c>
      <c r="AE62" s="160">
        <v>1</v>
      </c>
      <c r="AF62" s="170">
        <v>1</v>
      </c>
      <c r="AG62" s="158">
        <v>1</v>
      </c>
      <c r="AH62" s="158">
        <v>1</v>
      </c>
      <c r="AI62" s="158">
        <v>1</v>
      </c>
      <c r="AJ62" s="158">
        <v>1</v>
      </c>
      <c r="AK62" s="73">
        <f t="shared" si="1"/>
        <v>108.54700854700855</v>
      </c>
      <c r="AL62" s="162"/>
      <c r="AM62" s="163"/>
      <c r="AN62" s="164"/>
      <c r="AO62" s="170" t="s">
        <v>49</v>
      </c>
      <c r="AP62" s="70">
        <f t="shared" si="2"/>
        <v>0.49</v>
      </c>
      <c r="AQ62" s="72">
        <f>IF(head!F$82="S235",235,IF(head!F$82="S275",275,IF(head!F$82="S355",355,IF(head!F$82="S420",420,460))))^0.5*head!$G$70*1000/(S62*3.1416*210000^0.5)</f>
        <v>3.1523341628264787</v>
      </c>
      <c r="AR62" s="72">
        <f t="shared" si="3"/>
        <v>6.1919272069539453</v>
      </c>
      <c r="AS62" s="72">
        <f t="shared" si="4"/>
        <v>8.6795381002054375E-2</v>
      </c>
      <c r="AT62" s="52">
        <f>IF(head!F$82="S235",235,IF(head!F$82="S275",275,IF(head!F$82="S355",355,IF(head!F$82="S420",420,460))))*AS62*J62/1000</f>
        <v>113.25586500441872</v>
      </c>
      <c r="AU62" s="192" t="s">
        <v>47</v>
      </c>
      <c r="AV62" s="75" t="s">
        <v>47</v>
      </c>
      <c r="AW62" s="75" t="s">
        <v>47</v>
      </c>
      <c r="AX62" s="76" t="s">
        <v>47</v>
      </c>
      <c r="AY62" s="67" t="s">
        <v>47</v>
      </c>
      <c r="AZ62" s="193">
        <v>0</v>
      </c>
      <c r="BA62" s="169" t="str">
        <f t="shared" si="5"/>
        <v>CF CHS 127 x 12,5</v>
      </c>
      <c r="BB62" s="145"/>
    </row>
    <row r="63" spans="1:54" s="146" customFormat="1" ht="13.5" customHeight="1">
      <c r="A63" s="147" t="s">
        <v>349</v>
      </c>
      <c r="B63" s="62">
        <f t="shared" si="0"/>
        <v>133.68327853738558</v>
      </c>
      <c r="C63" s="149">
        <v>127</v>
      </c>
      <c r="D63" s="149"/>
      <c r="E63" s="150" t="s">
        <v>829</v>
      </c>
      <c r="F63" s="149"/>
      <c r="G63" s="149"/>
      <c r="H63" s="151">
        <v>35.296775210785576</v>
      </c>
      <c r="I63" s="152">
        <v>35.971235883603136</v>
      </c>
      <c r="J63" s="152">
        <v>4496.4044854503918</v>
      </c>
      <c r="K63" s="152">
        <v>0.39898226700590372</v>
      </c>
      <c r="L63" s="153">
        <v>7456443.7632784517</v>
      </c>
      <c r="M63" s="154">
        <v>117424.31123273153</v>
      </c>
      <c r="N63" s="154">
        <v>164529.16666666666</v>
      </c>
      <c r="O63" s="155">
        <v>40.722383279960418</v>
      </c>
      <c r="P63" s="154">
        <v>7456443.7632784517</v>
      </c>
      <c r="Q63" s="154">
        <v>117424.31123273153</v>
      </c>
      <c r="R63" s="154">
        <v>164529.16666666666</v>
      </c>
      <c r="S63" s="152">
        <v>40.722383279960418</v>
      </c>
      <c r="T63" s="153">
        <v>14912887.526556903</v>
      </c>
      <c r="U63" s="156"/>
      <c r="V63" s="157">
        <v>1</v>
      </c>
      <c r="W63" s="158">
        <v>1</v>
      </c>
      <c r="X63" s="158">
        <v>1</v>
      </c>
      <c r="Y63" s="158">
        <v>1</v>
      </c>
      <c r="Z63" s="158">
        <v>1</v>
      </c>
      <c r="AA63" s="159">
        <v>1</v>
      </c>
      <c r="AB63" s="158">
        <v>1</v>
      </c>
      <c r="AC63" s="158">
        <v>1</v>
      </c>
      <c r="AD63" s="158">
        <v>1</v>
      </c>
      <c r="AE63" s="160">
        <v>1</v>
      </c>
      <c r="AF63" s="170">
        <v>1</v>
      </c>
      <c r="AG63" s="158">
        <v>1</v>
      </c>
      <c r="AH63" s="158">
        <v>1</v>
      </c>
      <c r="AI63" s="158">
        <v>1</v>
      </c>
      <c r="AJ63" s="158">
        <v>1</v>
      </c>
      <c r="AK63" s="73">
        <f t="shared" si="1"/>
        <v>88.733624454148455</v>
      </c>
      <c r="AL63" s="162"/>
      <c r="AM63" s="163"/>
      <c r="AN63" s="164"/>
      <c r="AO63" s="170" t="s">
        <v>49</v>
      </c>
      <c r="AP63" s="70">
        <f t="shared" si="2"/>
        <v>0.49</v>
      </c>
      <c r="AQ63" s="72">
        <f>IF(head!F$82="S235",235,IF(head!F$82="S275",275,IF(head!F$82="S355",355,IF(head!F$82="S420",420,460))))^0.5*head!$G$70*1000/(S63*3.1416*210000^0.5)</f>
        <v>3.2138118941065468</v>
      </c>
      <c r="AR63" s="72">
        <f t="shared" si="3"/>
        <v>6.402677359406459</v>
      </c>
      <c r="AS63" s="72">
        <f t="shared" si="4"/>
        <v>8.3749719763156275E-2</v>
      </c>
      <c r="AT63" s="52">
        <f>IF(head!F$82="S235",235,IF(head!F$82="S275",275,IF(head!F$82="S355",355,IF(head!F$82="S420",420,460))))*AS63*J63/1000</f>
        <v>133.68327853738558</v>
      </c>
      <c r="AU63" s="192" t="s">
        <v>47</v>
      </c>
      <c r="AV63" s="75" t="s">
        <v>47</v>
      </c>
      <c r="AW63" s="75" t="s">
        <v>47</v>
      </c>
      <c r="AX63" s="76" t="s">
        <v>47</v>
      </c>
      <c r="AY63" s="67" t="s">
        <v>47</v>
      </c>
      <c r="AZ63" s="193">
        <v>0</v>
      </c>
      <c r="BA63" s="169" t="str">
        <f t="shared" si="5"/>
        <v>CF CHS 127 x 14,2</v>
      </c>
      <c r="BB63" s="145"/>
    </row>
    <row r="64" spans="1:54" s="146" customFormat="1" ht="13.5" customHeight="1">
      <c r="A64" s="147" t="s">
        <v>350</v>
      </c>
      <c r="B64" s="62">
        <f t="shared" si="0"/>
        <v>146.04433406699371</v>
      </c>
      <c r="C64" s="149">
        <v>127</v>
      </c>
      <c r="D64" s="149"/>
      <c r="E64" s="150" t="s">
        <v>830</v>
      </c>
      <c r="F64" s="149"/>
      <c r="G64" s="149"/>
      <c r="H64" s="151">
        <v>39.501807973189798</v>
      </c>
      <c r="I64" s="152">
        <v>40.256619590511896</v>
      </c>
      <c r="J64" s="152">
        <v>5032.0774488139878</v>
      </c>
      <c r="K64" s="152">
        <v>0.39898226700590372</v>
      </c>
      <c r="L64" s="153">
        <v>8130252.052887029</v>
      </c>
      <c r="M64" s="154">
        <v>128035.46539979572</v>
      </c>
      <c r="N64" s="154">
        <v>181632.95733333335</v>
      </c>
      <c r="O64" s="155">
        <v>40.195584334600738</v>
      </c>
      <c r="P64" s="154">
        <v>8130252.052887029</v>
      </c>
      <c r="Q64" s="154">
        <v>128035.46539979572</v>
      </c>
      <c r="R64" s="154">
        <v>181632.95733333335</v>
      </c>
      <c r="S64" s="152">
        <v>40.195584334600738</v>
      </c>
      <c r="T64" s="153">
        <v>16260504.105774058</v>
      </c>
      <c r="U64" s="156"/>
      <c r="V64" s="157">
        <v>1</v>
      </c>
      <c r="W64" s="158">
        <v>1</v>
      </c>
      <c r="X64" s="158">
        <v>1</v>
      </c>
      <c r="Y64" s="158">
        <v>1</v>
      </c>
      <c r="Z64" s="158">
        <v>1</v>
      </c>
      <c r="AA64" s="159">
        <v>1</v>
      </c>
      <c r="AB64" s="158">
        <v>1</v>
      </c>
      <c r="AC64" s="158">
        <v>1</v>
      </c>
      <c r="AD64" s="158">
        <v>1</v>
      </c>
      <c r="AE64" s="160">
        <v>1</v>
      </c>
      <c r="AF64" s="170">
        <v>1</v>
      </c>
      <c r="AG64" s="158">
        <v>1</v>
      </c>
      <c r="AH64" s="158">
        <v>1</v>
      </c>
      <c r="AI64" s="158">
        <v>1</v>
      </c>
      <c r="AJ64" s="158">
        <v>1</v>
      </c>
      <c r="AK64" s="73">
        <f t="shared" si="1"/>
        <v>79.287783438217943</v>
      </c>
      <c r="AL64" s="162"/>
      <c r="AM64" s="163"/>
      <c r="AN64" s="164"/>
      <c r="AO64" s="170" t="s">
        <v>49</v>
      </c>
      <c r="AP64" s="70">
        <f t="shared" si="2"/>
        <v>0.49</v>
      </c>
      <c r="AQ64" s="72">
        <f>IF(head!F$82="S235",235,IF(head!F$82="S275",275,IF(head!F$82="S355",355,IF(head!F$82="S420",420,460))))^0.5*head!$G$70*1000/(S64*3.1416*210000^0.5)</f>
        <v>3.2559317623564121</v>
      </c>
      <c r="AR64" s="72">
        <f t="shared" si="3"/>
        <v>6.5492491023379866</v>
      </c>
      <c r="AS64" s="72">
        <f t="shared" si="4"/>
        <v>8.1754006076858177E-2</v>
      </c>
      <c r="AT64" s="52">
        <f>IF(head!F$82="S235",235,IF(head!F$82="S275",275,IF(head!F$82="S355",355,IF(head!F$82="S420",420,460))))*AS64*J64/1000</f>
        <v>146.04433406699371</v>
      </c>
      <c r="AU64" s="192" t="s">
        <v>47</v>
      </c>
      <c r="AV64" s="75" t="s">
        <v>47</v>
      </c>
      <c r="AW64" s="75" t="s">
        <v>47</v>
      </c>
      <c r="AX64" s="76" t="s">
        <v>47</v>
      </c>
      <c r="AY64" s="67" t="s">
        <v>47</v>
      </c>
      <c r="AZ64" s="193">
        <v>0</v>
      </c>
      <c r="BA64" s="169" t="str">
        <f t="shared" si="5"/>
        <v>CF CHS 127 x 16</v>
      </c>
      <c r="BB64" s="145"/>
    </row>
    <row r="65" spans="1:54" s="146" customFormat="1" ht="13.5" customHeight="1">
      <c r="A65" s="147" t="s">
        <v>351</v>
      </c>
      <c r="B65" s="62">
        <f t="shared" si="0"/>
        <v>157.87874118756102</v>
      </c>
      <c r="C65" s="149">
        <v>127</v>
      </c>
      <c r="D65" s="149"/>
      <c r="E65" s="150" t="s">
        <v>831</v>
      </c>
      <c r="F65" s="149"/>
      <c r="G65" s="149"/>
      <c r="H65" s="151">
        <v>43.798828139287465</v>
      </c>
      <c r="I65" s="152">
        <v>44.63574842220379</v>
      </c>
      <c r="J65" s="152">
        <v>5579.4685527754727</v>
      </c>
      <c r="K65" s="152">
        <v>0.39898226700590372</v>
      </c>
      <c r="L65" s="153">
        <v>8771621.9985321406</v>
      </c>
      <c r="M65" s="154">
        <v>138135.77950444314</v>
      </c>
      <c r="N65" s="154">
        <v>198501.33333333331</v>
      </c>
      <c r="O65" s="155">
        <v>39.650031525838664</v>
      </c>
      <c r="P65" s="154">
        <v>8771621.9985321406</v>
      </c>
      <c r="Q65" s="154">
        <v>138135.77950444314</v>
      </c>
      <c r="R65" s="154">
        <v>198501.33333333331</v>
      </c>
      <c r="S65" s="152">
        <v>39.650031525838664</v>
      </c>
      <c r="T65" s="153">
        <v>17543243.997064281</v>
      </c>
      <c r="U65" s="156"/>
      <c r="V65" s="157">
        <v>1</v>
      </c>
      <c r="W65" s="158">
        <v>1</v>
      </c>
      <c r="X65" s="158">
        <v>1</v>
      </c>
      <c r="Y65" s="158">
        <v>1</v>
      </c>
      <c r="Z65" s="158">
        <v>1</v>
      </c>
      <c r="AA65" s="159">
        <v>1</v>
      </c>
      <c r="AB65" s="158">
        <v>1</v>
      </c>
      <c r="AC65" s="158">
        <v>1</v>
      </c>
      <c r="AD65" s="158">
        <v>1</v>
      </c>
      <c r="AE65" s="160">
        <v>1</v>
      </c>
      <c r="AF65" s="170">
        <v>1</v>
      </c>
      <c r="AG65" s="158">
        <v>1</v>
      </c>
      <c r="AH65" s="158">
        <v>1</v>
      </c>
      <c r="AI65" s="158">
        <v>1</v>
      </c>
      <c r="AJ65" s="158">
        <v>1</v>
      </c>
      <c r="AK65" s="73">
        <f t="shared" si="1"/>
        <v>71.509009009009006</v>
      </c>
      <c r="AL65" s="162"/>
      <c r="AM65" s="163"/>
      <c r="AN65" s="164"/>
      <c r="AO65" s="170" t="s">
        <v>49</v>
      </c>
      <c r="AP65" s="70">
        <f t="shared" si="2"/>
        <v>0.49</v>
      </c>
      <c r="AQ65" s="72">
        <f>IF(head!F$82="S235",235,IF(head!F$82="S275",275,IF(head!F$82="S355",355,IF(head!F$82="S420",420,460))))^0.5*head!$G$70*1000/(S65*3.1416*210000^0.5)</f>
        <v>3.3007307864614406</v>
      </c>
      <c r="AR65" s="72">
        <f t="shared" si="3"/>
        <v>6.707090905030233</v>
      </c>
      <c r="AS65" s="72">
        <f t="shared" si="4"/>
        <v>7.9708101983017213E-2</v>
      </c>
      <c r="AT65" s="52">
        <f>IF(head!F$82="S235",235,IF(head!F$82="S275",275,IF(head!F$82="S355",355,IF(head!F$82="S420",420,460))))*AS65*J65/1000</f>
        <v>157.87874118756102</v>
      </c>
      <c r="AU65" s="192" t="s">
        <v>47</v>
      </c>
      <c r="AV65" s="75" t="s">
        <v>47</v>
      </c>
      <c r="AW65" s="75" t="s">
        <v>47</v>
      </c>
      <c r="AX65" s="76" t="s">
        <v>47</v>
      </c>
      <c r="AY65" s="67" t="s">
        <v>47</v>
      </c>
      <c r="AZ65" s="193">
        <v>0</v>
      </c>
      <c r="BA65" s="169" t="str">
        <f t="shared" si="5"/>
        <v>CF CHS 127 x 17,5</v>
      </c>
      <c r="BB65" s="145"/>
    </row>
    <row r="66" spans="1:54" s="146" customFormat="1" ht="13.5" customHeight="1">
      <c r="A66" s="147" t="s">
        <v>352</v>
      </c>
      <c r="B66" s="62">
        <f t="shared" ref="B66:B126" si="6">AT66</f>
        <v>166.81658046231931</v>
      </c>
      <c r="C66" s="149">
        <v>127</v>
      </c>
      <c r="D66" s="149"/>
      <c r="E66" s="150" t="s">
        <v>832</v>
      </c>
      <c r="F66" s="149"/>
      <c r="G66" s="149"/>
      <c r="H66" s="151">
        <v>47.257603841165313</v>
      </c>
      <c r="I66" s="152">
        <v>48.160615379531528</v>
      </c>
      <c r="J66" s="152">
        <v>6020.0769224414407</v>
      </c>
      <c r="K66" s="152">
        <v>0.39898226700590372</v>
      </c>
      <c r="L66" s="153">
        <v>9253234.4846001472</v>
      </c>
      <c r="M66" s="154">
        <v>145720.22810393933</v>
      </c>
      <c r="N66" s="154">
        <v>211615.83333333334</v>
      </c>
      <c r="O66" s="155">
        <v>39.205388660233943</v>
      </c>
      <c r="P66" s="154">
        <v>9253234.4846001472</v>
      </c>
      <c r="Q66" s="154">
        <v>145720.22810393933</v>
      </c>
      <c r="R66" s="154">
        <v>211615.83333333334</v>
      </c>
      <c r="S66" s="152">
        <v>39.205388660233943</v>
      </c>
      <c r="T66" s="153">
        <v>18506468.969200294</v>
      </c>
      <c r="U66" s="156"/>
      <c r="V66" s="157">
        <v>1</v>
      </c>
      <c r="W66" s="158">
        <v>1</v>
      </c>
      <c r="X66" s="158">
        <v>1</v>
      </c>
      <c r="Y66" s="158">
        <v>1</v>
      </c>
      <c r="Z66" s="158">
        <v>1</v>
      </c>
      <c r="AA66" s="159">
        <v>1</v>
      </c>
      <c r="AB66" s="158">
        <v>1</v>
      </c>
      <c r="AC66" s="158">
        <v>1</v>
      </c>
      <c r="AD66" s="158">
        <v>1</v>
      </c>
      <c r="AE66" s="160">
        <v>1</v>
      </c>
      <c r="AF66" s="170">
        <v>1</v>
      </c>
      <c r="AG66" s="158">
        <v>1</v>
      </c>
      <c r="AH66" s="158">
        <v>1</v>
      </c>
      <c r="AI66" s="158">
        <v>1</v>
      </c>
      <c r="AJ66" s="158">
        <v>1</v>
      </c>
      <c r="AK66" s="73">
        <f t="shared" si="1"/>
        <v>66.275277234181345</v>
      </c>
      <c r="AL66" s="162"/>
      <c r="AM66" s="163"/>
      <c r="AN66" s="164"/>
      <c r="AO66" s="170" t="s">
        <v>49</v>
      </c>
      <c r="AP66" s="70">
        <f t="shared" si="2"/>
        <v>0.49</v>
      </c>
      <c r="AQ66" s="72">
        <f>IF(head!F$82="S235",235,IF(head!F$82="S275",275,IF(head!F$82="S355",355,IF(head!F$82="S420",420,460))))^0.5*head!$G$70*1000/(S66*3.1416*210000^0.5)</f>
        <v>3.338165599522497</v>
      </c>
      <c r="AR66" s="72">
        <f t="shared" si="3"/>
        <v>6.8405253568007076</v>
      </c>
      <c r="AS66" s="72">
        <f t="shared" si="4"/>
        <v>7.8056454512323292E-2</v>
      </c>
      <c r="AT66" s="52">
        <f>IF(head!F$82="S235",235,IF(head!F$82="S275",275,IF(head!F$82="S355",355,IF(head!F$82="S420",420,460))))*AS66*J66/1000</f>
        <v>166.81658046231931</v>
      </c>
      <c r="AU66" s="192" t="s">
        <v>47</v>
      </c>
      <c r="AV66" s="75" t="s">
        <v>47</v>
      </c>
      <c r="AW66" s="75" t="s">
        <v>47</v>
      </c>
      <c r="AX66" s="76" t="s">
        <v>47</v>
      </c>
      <c r="AY66" s="67" t="s">
        <v>47</v>
      </c>
      <c r="AZ66" s="193">
        <v>0</v>
      </c>
      <c r="BA66" s="169" t="str">
        <f t="shared" si="5"/>
        <v>CF CHS 127 x 20</v>
      </c>
      <c r="BB66" s="145"/>
    </row>
    <row r="67" spans="1:54" s="146" customFormat="1" ht="13.5" customHeight="1">
      <c r="A67" s="147" t="s">
        <v>353</v>
      </c>
      <c r="B67" s="62">
        <f t="shared" si="6"/>
        <v>179.98436926070693</v>
      </c>
      <c r="C67" s="149">
        <v>127</v>
      </c>
      <c r="D67" s="149"/>
      <c r="E67" s="150" t="s">
        <v>833</v>
      </c>
      <c r="F67" s="149"/>
      <c r="G67" s="149"/>
      <c r="H67" s="151">
        <v>52.77561498765494</v>
      </c>
      <c r="I67" s="152">
        <v>53.784066229457267</v>
      </c>
      <c r="J67" s="152">
        <v>6723.0082786821577</v>
      </c>
      <c r="K67" s="152">
        <v>0.39898226700590372</v>
      </c>
      <c r="L67" s="153">
        <v>9957615.6367631108</v>
      </c>
      <c r="M67" s="154">
        <v>156812.84467343483</v>
      </c>
      <c r="N67" s="154">
        <v>231646.66666666669</v>
      </c>
      <c r="O67" s="155">
        <v>38.485386837084022</v>
      </c>
      <c r="P67" s="154">
        <v>9957615.6367631108</v>
      </c>
      <c r="Q67" s="154">
        <v>156812.84467343483</v>
      </c>
      <c r="R67" s="154">
        <v>231646.66666666669</v>
      </c>
      <c r="S67" s="152">
        <v>38.485386837084022</v>
      </c>
      <c r="T67" s="153">
        <v>19915231.273526222</v>
      </c>
      <c r="U67" s="156"/>
      <c r="V67" s="157">
        <v>1</v>
      </c>
      <c r="W67" s="158">
        <v>1</v>
      </c>
      <c r="X67" s="158">
        <v>1</v>
      </c>
      <c r="Y67" s="158">
        <v>1</v>
      </c>
      <c r="Z67" s="158">
        <v>1</v>
      </c>
      <c r="AA67" s="159">
        <v>1</v>
      </c>
      <c r="AB67" s="158">
        <v>1</v>
      </c>
      <c r="AC67" s="158">
        <v>1</v>
      </c>
      <c r="AD67" s="158">
        <v>1</v>
      </c>
      <c r="AE67" s="160">
        <v>1</v>
      </c>
      <c r="AF67" s="170">
        <v>1</v>
      </c>
      <c r="AG67" s="158">
        <v>1</v>
      </c>
      <c r="AH67" s="158">
        <v>1</v>
      </c>
      <c r="AI67" s="158">
        <v>1</v>
      </c>
      <c r="AJ67" s="158">
        <v>1</v>
      </c>
      <c r="AK67" s="73">
        <f t="shared" ref="AK67:AK127" si="7">K67/J67*1000000</f>
        <v>59.345794392523359</v>
      </c>
      <c r="AL67" s="162"/>
      <c r="AM67" s="163"/>
      <c r="AN67" s="164"/>
      <c r="AO67" s="170" t="s">
        <v>49</v>
      </c>
      <c r="AP67" s="70">
        <f t="shared" si="2"/>
        <v>0.49</v>
      </c>
      <c r="AQ67" s="72">
        <f>IF(head!F$82="S235",235,IF(head!F$82="S275",275,IF(head!F$82="S355",355,IF(head!F$82="S420",420,460))))^0.5*head!$G$70*1000/(S67*3.1416*210000^0.5)</f>
        <v>3.4006174939988854</v>
      </c>
      <c r="AR67" s="72">
        <f t="shared" si="3"/>
        <v>7.0662509562753559</v>
      </c>
      <c r="AS67" s="72">
        <f t="shared" si="4"/>
        <v>7.5412405020714723E-2</v>
      </c>
      <c r="AT67" s="52">
        <f>IF(head!F$82="S235",235,IF(head!F$82="S275",275,IF(head!F$82="S355",355,IF(head!F$82="S420",420,460))))*AS67*J67/1000</f>
        <v>179.98436926070693</v>
      </c>
      <c r="AU67" s="192" t="s">
        <v>47</v>
      </c>
      <c r="AV67" s="75" t="s">
        <v>47</v>
      </c>
      <c r="AW67" s="75" t="s">
        <v>47</v>
      </c>
      <c r="AX67" s="76" t="s">
        <v>47</v>
      </c>
      <c r="AY67" s="67" t="s">
        <v>47</v>
      </c>
      <c r="AZ67" s="193">
        <v>0</v>
      </c>
      <c r="BA67" s="169" t="str">
        <f t="shared" si="5"/>
        <v>CF CHS 133 x 5</v>
      </c>
      <c r="BB67" s="145"/>
    </row>
    <row r="68" spans="1:54" s="146" customFormat="1" ht="13.5" customHeight="1">
      <c r="A68" s="147" t="s">
        <v>354</v>
      </c>
      <c r="B68" s="62">
        <f t="shared" si="6"/>
        <v>72.700247067266815</v>
      </c>
      <c r="C68" s="149">
        <v>133</v>
      </c>
      <c r="D68" s="149"/>
      <c r="E68" s="150">
        <v>5</v>
      </c>
      <c r="F68" s="149"/>
      <c r="G68" s="149"/>
      <c r="H68" s="151">
        <v>15.783361491635121</v>
      </c>
      <c r="I68" s="152">
        <v>16.084954386379742</v>
      </c>
      <c r="J68" s="152">
        <v>2010.6192982974676</v>
      </c>
      <c r="K68" s="152">
        <v>0.41783182292744248</v>
      </c>
      <c r="L68" s="153">
        <v>4124031.5082203932</v>
      </c>
      <c r="M68" s="154">
        <v>62015.511401810421</v>
      </c>
      <c r="N68" s="154">
        <v>81961.666666666672</v>
      </c>
      <c r="O68" s="155">
        <v>45.289347533388025</v>
      </c>
      <c r="P68" s="154">
        <v>4124031.5082203932</v>
      </c>
      <c r="Q68" s="154">
        <v>62015.511401810421</v>
      </c>
      <c r="R68" s="154">
        <v>81961.666666666672</v>
      </c>
      <c r="S68" s="152">
        <v>45.289347533388025</v>
      </c>
      <c r="T68" s="153">
        <v>8248063.0164407864</v>
      </c>
      <c r="U68" s="156"/>
      <c r="V68" s="157">
        <v>1</v>
      </c>
      <c r="W68" s="158">
        <v>1</v>
      </c>
      <c r="X68" s="158">
        <v>1</v>
      </c>
      <c r="Y68" s="158">
        <v>1</v>
      </c>
      <c r="Z68" s="158">
        <v>2</v>
      </c>
      <c r="AA68" s="159">
        <v>1</v>
      </c>
      <c r="AB68" s="158">
        <v>1</v>
      </c>
      <c r="AC68" s="158">
        <v>2</v>
      </c>
      <c r="AD68" s="158">
        <v>2</v>
      </c>
      <c r="AE68" s="160">
        <v>3</v>
      </c>
      <c r="AF68" s="170">
        <v>1</v>
      </c>
      <c r="AG68" s="158">
        <v>1</v>
      </c>
      <c r="AH68" s="158">
        <v>2</v>
      </c>
      <c r="AI68" s="158">
        <v>2</v>
      </c>
      <c r="AJ68" s="158">
        <v>3</v>
      </c>
      <c r="AK68" s="73">
        <f t="shared" si="7"/>
        <v>207.8125</v>
      </c>
      <c r="AL68" s="162"/>
      <c r="AM68" s="163"/>
      <c r="AN68" s="164"/>
      <c r="AO68" s="170" t="s">
        <v>49</v>
      </c>
      <c r="AP68" s="70">
        <f t="shared" si="2"/>
        <v>0.49</v>
      </c>
      <c r="AQ68" s="72">
        <f>IF(head!F$82="S235",235,IF(head!F$82="S275",275,IF(head!F$82="S355",355,IF(head!F$82="S420",420,460))))^0.5*head!$G$70*1000/(S68*3.1416*210000^0.5)</f>
        <v>2.8897320643672315</v>
      </c>
      <c r="AR68" s="72">
        <f t="shared" si="3"/>
        <v>5.3342600576860226</v>
      </c>
      <c r="AS68" s="72">
        <f t="shared" si="4"/>
        <v>0.10185390567568293</v>
      </c>
      <c r="AT68" s="52">
        <f>IF(head!F$82="S235",235,IF(head!F$82="S275",275,IF(head!F$82="S355",355,IF(head!F$82="S420",420,460))))*AS68*J68/1000</f>
        <v>72.700247067266815</v>
      </c>
      <c r="AU68" s="192" t="s">
        <v>47</v>
      </c>
      <c r="AV68" s="75" t="s">
        <v>47</v>
      </c>
      <c r="AW68" s="75" t="s">
        <v>47</v>
      </c>
      <c r="AX68" s="76" t="s">
        <v>47</v>
      </c>
      <c r="AY68" s="67" t="s">
        <v>47</v>
      </c>
      <c r="AZ68" s="193">
        <v>0</v>
      </c>
      <c r="BA68" s="169" t="str">
        <f t="shared" si="5"/>
        <v>CF CHS 133 x 6,3</v>
      </c>
      <c r="BB68" s="145"/>
    </row>
    <row r="69" spans="1:54" s="146" customFormat="1" ht="13.5" customHeight="1">
      <c r="A69" s="147" t="s">
        <v>355</v>
      </c>
      <c r="B69" s="62">
        <f t="shared" si="6"/>
        <v>89.069392803927286</v>
      </c>
      <c r="C69" s="149">
        <v>133</v>
      </c>
      <c r="D69" s="149"/>
      <c r="E69" s="150">
        <v>6.3</v>
      </c>
      <c r="F69" s="149"/>
      <c r="G69" s="149"/>
      <c r="H69" s="151">
        <v>19.685057775371977</v>
      </c>
      <c r="I69" s="152">
        <v>20.061205376175263</v>
      </c>
      <c r="J69" s="152">
        <v>2507.6506720219077</v>
      </c>
      <c r="K69" s="152">
        <v>0.41783182292744248</v>
      </c>
      <c r="L69" s="153">
        <v>5044321.1314457888</v>
      </c>
      <c r="M69" s="154">
        <v>75854.453104447952</v>
      </c>
      <c r="N69" s="154">
        <v>101216.55599999994</v>
      </c>
      <c r="O69" s="155">
        <v>44.850557410137057</v>
      </c>
      <c r="P69" s="154">
        <v>5044321.1314457888</v>
      </c>
      <c r="Q69" s="154">
        <v>75854.453104447952</v>
      </c>
      <c r="R69" s="154">
        <v>101216.55599999994</v>
      </c>
      <c r="S69" s="152">
        <v>44.850557410137057</v>
      </c>
      <c r="T69" s="153">
        <v>10088642.262891578</v>
      </c>
      <c r="U69" s="156"/>
      <c r="V69" s="157">
        <v>1</v>
      </c>
      <c r="W69" s="158">
        <v>1</v>
      </c>
      <c r="X69" s="158">
        <v>1</v>
      </c>
      <c r="Y69" s="158">
        <v>1</v>
      </c>
      <c r="Z69" s="158">
        <v>1</v>
      </c>
      <c r="AA69" s="159">
        <v>1</v>
      </c>
      <c r="AB69" s="158">
        <v>1</v>
      </c>
      <c r="AC69" s="158">
        <v>1</v>
      </c>
      <c r="AD69" s="158">
        <v>2</v>
      </c>
      <c r="AE69" s="160">
        <v>2</v>
      </c>
      <c r="AF69" s="170">
        <v>1</v>
      </c>
      <c r="AG69" s="158">
        <v>1</v>
      </c>
      <c r="AH69" s="158">
        <v>1</v>
      </c>
      <c r="AI69" s="158">
        <v>2</v>
      </c>
      <c r="AJ69" s="158">
        <v>2</v>
      </c>
      <c r="AK69" s="73">
        <f t="shared" si="7"/>
        <v>166.62281855652029</v>
      </c>
      <c r="AL69" s="162"/>
      <c r="AM69" s="163"/>
      <c r="AN69" s="164"/>
      <c r="AO69" s="170" t="s">
        <v>49</v>
      </c>
      <c r="AP69" s="70">
        <f t="shared" si="2"/>
        <v>0.49</v>
      </c>
      <c r="AQ69" s="72">
        <f>IF(head!F$82="S235",235,IF(head!F$82="S275",275,IF(head!F$82="S355",355,IF(head!F$82="S420",420,460))))^0.5*head!$G$70*1000/(S69*3.1416*210000^0.5)</f>
        <v>2.9180034162055337</v>
      </c>
      <c r="AR69" s="72">
        <f t="shared" si="3"/>
        <v>5.4232828054639377</v>
      </c>
      <c r="AS69" s="72">
        <f t="shared" si="4"/>
        <v>0.10005368803499751</v>
      </c>
      <c r="AT69" s="52">
        <f>IF(head!F$82="S235",235,IF(head!F$82="S275",275,IF(head!F$82="S355",355,IF(head!F$82="S420",420,460))))*AS69*J69/1000</f>
        <v>89.069392803927286</v>
      </c>
      <c r="AU69" s="192" t="s">
        <v>47</v>
      </c>
      <c r="AV69" s="75" t="s">
        <v>47</v>
      </c>
      <c r="AW69" s="75" t="s">
        <v>47</v>
      </c>
      <c r="AX69" s="76" t="s">
        <v>47</v>
      </c>
      <c r="AY69" s="67" t="s">
        <v>47</v>
      </c>
      <c r="AZ69" s="193">
        <v>0</v>
      </c>
      <c r="BA69" s="169" t="str">
        <f t="shared" si="5"/>
        <v>CF CHS 133 x 7,1</v>
      </c>
      <c r="BB69" s="145"/>
    </row>
    <row r="70" spans="1:54" s="146" customFormat="1" ht="13.5" customHeight="1">
      <c r="A70" s="147" t="s">
        <v>356</v>
      </c>
      <c r="B70" s="62">
        <f t="shared" si="6"/>
        <v>98.658216439223864</v>
      </c>
      <c r="C70" s="149">
        <v>133</v>
      </c>
      <c r="D70" s="149"/>
      <c r="E70" s="150" t="s">
        <v>825</v>
      </c>
      <c r="F70" s="149"/>
      <c r="G70" s="149"/>
      <c r="H70" s="151">
        <v>22.044670318371441</v>
      </c>
      <c r="I70" s="152">
        <v>22.465906056939048</v>
      </c>
      <c r="J70" s="152">
        <v>2808.2382571173812</v>
      </c>
      <c r="K70" s="152">
        <v>0.41783182292744248</v>
      </c>
      <c r="L70" s="153">
        <v>5581801.7923550038</v>
      </c>
      <c r="M70" s="154">
        <v>83936.869057969991</v>
      </c>
      <c r="N70" s="154">
        <v>112660.05466666669</v>
      </c>
      <c r="O70" s="155">
        <v>44.583096572580054</v>
      </c>
      <c r="P70" s="154">
        <v>5581801.7923550038</v>
      </c>
      <c r="Q70" s="154">
        <v>83936.869057969991</v>
      </c>
      <c r="R70" s="154">
        <v>112660.05466666669</v>
      </c>
      <c r="S70" s="152">
        <v>44.583096572580054</v>
      </c>
      <c r="T70" s="153">
        <v>11163603.584710008</v>
      </c>
      <c r="U70" s="156"/>
      <c r="V70" s="157">
        <v>1</v>
      </c>
      <c r="W70" s="158">
        <v>1</v>
      </c>
      <c r="X70" s="158">
        <v>1</v>
      </c>
      <c r="Y70" s="158">
        <v>1</v>
      </c>
      <c r="Z70" s="158">
        <v>1</v>
      </c>
      <c r="AA70" s="159">
        <v>1</v>
      </c>
      <c r="AB70" s="158">
        <v>1</v>
      </c>
      <c r="AC70" s="158">
        <v>1</v>
      </c>
      <c r="AD70" s="158">
        <v>1</v>
      </c>
      <c r="AE70" s="160">
        <v>2</v>
      </c>
      <c r="AF70" s="170">
        <v>1</v>
      </c>
      <c r="AG70" s="158">
        <v>1</v>
      </c>
      <c r="AH70" s="158">
        <v>1</v>
      </c>
      <c r="AI70" s="158">
        <v>1</v>
      </c>
      <c r="AJ70" s="158">
        <v>2</v>
      </c>
      <c r="AK70" s="73">
        <f t="shared" si="7"/>
        <v>148.78788217789653</v>
      </c>
      <c r="AL70" s="162"/>
      <c r="AM70" s="163"/>
      <c r="AN70" s="164"/>
      <c r="AO70" s="170" t="s">
        <v>49</v>
      </c>
      <c r="AP70" s="70">
        <f t="shared" ref="AP70:AP133" si="8">IF(AO70="a0",0.13,IF(AO70="a",0.21,IF(AO70="b",0.34,IF(AO70="c",0.49,0.76))))</f>
        <v>0.49</v>
      </c>
      <c r="AQ70" s="72">
        <f>IF(head!F$82="S235",235,IF(head!F$82="S275",275,IF(head!F$82="S355",355,IF(head!F$82="S420",420,460))))^0.5*head!$G$70*1000/(S70*3.1416*210000^0.5)</f>
        <v>2.9355089664631744</v>
      </c>
      <c r="AR70" s="72">
        <f t="shared" ref="AR70:AR133" si="9">0.5*(1+AP70*(AQ70-0.2)+AQ70^2)</f>
        <v>5.4788061428763246</v>
      </c>
      <c r="AS70" s="72">
        <f t="shared" ref="AS70:AS133" si="10">IF(AQ70&lt;=0.2,1,1/(AR70+(AR70^2-AQ70^2)^0.5))</f>
        <v>9.8962567773061907E-2</v>
      </c>
      <c r="AT70" s="52">
        <f>IF(head!F$82="S235",235,IF(head!F$82="S275",275,IF(head!F$82="S355",355,IF(head!F$82="S420",420,460))))*AS70*J70/1000</f>
        <v>98.658216439223864</v>
      </c>
      <c r="AU70" s="192" t="s">
        <v>47</v>
      </c>
      <c r="AV70" s="75" t="s">
        <v>47</v>
      </c>
      <c r="AW70" s="75" t="s">
        <v>47</v>
      </c>
      <c r="AX70" s="76" t="s">
        <v>47</v>
      </c>
      <c r="AY70" s="67" t="s">
        <v>47</v>
      </c>
      <c r="AZ70" s="193">
        <v>0</v>
      </c>
      <c r="BA70" s="169" t="str">
        <f t="shared" ref="BA70:BA133" si="11">A71</f>
        <v>CF CHS 133 x 8</v>
      </c>
      <c r="BB70" s="145"/>
    </row>
    <row r="71" spans="1:54" s="146" customFormat="1" ht="13.5" customHeight="1">
      <c r="A71" s="147" t="s">
        <v>357</v>
      </c>
      <c r="B71" s="62">
        <f t="shared" si="6"/>
        <v>109.01760275436038</v>
      </c>
      <c r="C71" s="149">
        <v>133</v>
      </c>
      <c r="D71" s="149"/>
      <c r="E71" s="150">
        <v>8</v>
      </c>
      <c r="F71" s="149"/>
      <c r="G71" s="149"/>
      <c r="H71" s="151">
        <v>24.661502330679873</v>
      </c>
      <c r="I71" s="152">
        <v>25.132741228718341</v>
      </c>
      <c r="J71" s="152">
        <v>3141.5926535897929</v>
      </c>
      <c r="K71" s="152">
        <v>0.41783182292744248</v>
      </c>
      <c r="L71" s="153">
        <v>6161055.8927712832</v>
      </c>
      <c r="M71" s="154">
        <v>92647.45703415462</v>
      </c>
      <c r="N71" s="154">
        <v>125170.66666666666</v>
      </c>
      <c r="O71" s="155">
        <v>44.284590999579081</v>
      </c>
      <c r="P71" s="154">
        <v>6161055.8927712832</v>
      </c>
      <c r="Q71" s="154">
        <v>92647.45703415462</v>
      </c>
      <c r="R71" s="154">
        <v>125170.66666666666</v>
      </c>
      <c r="S71" s="152">
        <v>44.284590999579081</v>
      </c>
      <c r="T71" s="153">
        <v>12322111.785542566</v>
      </c>
      <c r="U71" s="156"/>
      <c r="V71" s="157">
        <v>1</v>
      </c>
      <c r="W71" s="158">
        <v>1</v>
      </c>
      <c r="X71" s="158">
        <v>1</v>
      </c>
      <c r="Y71" s="158">
        <v>1</v>
      </c>
      <c r="Z71" s="158">
        <v>1</v>
      </c>
      <c r="AA71" s="159">
        <v>1</v>
      </c>
      <c r="AB71" s="158">
        <v>1</v>
      </c>
      <c r="AC71" s="158">
        <v>1</v>
      </c>
      <c r="AD71" s="158">
        <v>1</v>
      </c>
      <c r="AE71" s="160">
        <v>1</v>
      </c>
      <c r="AF71" s="170">
        <v>1</v>
      </c>
      <c r="AG71" s="158">
        <v>1</v>
      </c>
      <c r="AH71" s="158">
        <v>1</v>
      </c>
      <c r="AI71" s="158">
        <v>1</v>
      </c>
      <c r="AJ71" s="158">
        <v>1</v>
      </c>
      <c r="AK71" s="73">
        <f t="shared" si="7"/>
        <v>133</v>
      </c>
      <c r="AL71" s="162"/>
      <c r="AM71" s="163"/>
      <c r="AN71" s="164"/>
      <c r="AO71" s="170" t="s">
        <v>49</v>
      </c>
      <c r="AP71" s="70">
        <f t="shared" si="8"/>
        <v>0.49</v>
      </c>
      <c r="AQ71" s="72">
        <f>IF(head!F$82="S235",235,IF(head!F$82="S275",275,IF(head!F$82="S355",355,IF(head!F$82="S420",420,460))))^0.5*head!$G$70*1000/(S71*3.1416*210000^0.5)</f>
        <v>2.9552961151373465</v>
      </c>
      <c r="AR71" s="72">
        <f t="shared" si="9"/>
        <v>5.5419351122815961</v>
      </c>
      <c r="AS71" s="72">
        <f t="shared" si="10"/>
        <v>9.7750368238789187E-2</v>
      </c>
      <c r="AT71" s="52">
        <f>IF(head!F$82="S235",235,IF(head!F$82="S275",275,IF(head!F$82="S355",355,IF(head!F$82="S420",420,460))))*AS71*J71/1000</f>
        <v>109.01760275436038</v>
      </c>
      <c r="AU71" s="192" t="s">
        <v>47</v>
      </c>
      <c r="AV71" s="75" t="s">
        <v>47</v>
      </c>
      <c r="AW71" s="75" t="s">
        <v>47</v>
      </c>
      <c r="AX71" s="76" t="s">
        <v>47</v>
      </c>
      <c r="AY71" s="67" t="s">
        <v>47</v>
      </c>
      <c r="AZ71" s="193">
        <v>0</v>
      </c>
      <c r="BA71" s="169" t="str">
        <f t="shared" si="11"/>
        <v>CF CHS 133 x 10</v>
      </c>
      <c r="BB71" s="145"/>
    </row>
    <row r="72" spans="1:54" s="146" customFormat="1" ht="13.5" customHeight="1">
      <c r="A72" s="147" t="s">
        <v>358</v>
      </c>
      <c r="B72" s="62">
        <f t="shared" si="6"/>
        <v>130.4766221103169</v>
      </c>
      <c r="C72" s="149">
        <v>133</v>
      </c>
      <c r="D72" s="149"/>
      <c r="E72" s="150" t="s">
        <v>828</v>
      </c>
      <c r="F72" s="149"/>
      <c r="G72" s="149"/>
      <c r="H72" s="151">
        <v>30.333647866736243</v>
      </c>
      <c r="I72" s="152">
        <v>30.91327171132356</v>
      </c>
      <c r="J72" s="152">
        <v>3864.1589639154454</v>
      </c>
      <c r="K72" s="152">
        <v>0.41783182292744248</v>
      </c>
      <c r="L72" s="153">
        <v>7355909.6076835413</v>
      </c>
      <c r="M72" s="154">
        <v>110615.1820704292</v>
      </c>
      <c r="N72" s="154">
        <v>151623.33333333334</v>
      </c>
      <c r="O72" s="155">
        <v>43.630551222738411</v>
      </c>
      <c r="P72" s="154">
        <v>7355909.6076835413</v>
      </c>
      <c r="Q72" s="154">
        <v>110615.1820704292</v>
      </c>
      <c r="R72" s="154">
        <v>151623.33333333334</v>
      </c>
      <c r="S72" s="152">
        <v>43.630551222738411</v>
      </c>
      <c r="T72" s="153">
        <v>14711819.215367083</v>
      </c>
      <c r="U72" s="156"/>
      <c r="V72" s="157">
        <v>1</v>
      </c>
      <c r="W72" s="158">
        <v>1</v>
      </c>
      <c r="X72" s="158">
        <v>1</v>
      </c>
      <c r="Y72" s="158">
        <v>1</v>
      </c>
      <c r="Z72" s="158">
        <v>1</v>
      </c>
      <c r="AA72" s="159">
        <v>1</v>
      </c>
      <c r="AB72" s="158">
        <v>1</v>
      </c>
      <c r="AC72" s="158">
        <v>1</v>
      </c>
      <c r="AD72" s="158">
        <v>1</v>
      </c>
      <c r="AE72" s="160">
        <v>1</v>
      </c>
      <c r="AF72" s="170">
        <v>1</v>
      </c>
      <c r="AG72" s="158">
        <v>1</v>
      </c>
      <c r="AH72" s="158">
        <v>1</v>
      </c>
      <c r="AI72" s="158">
        <v>1</v>
      </c>
      <c r="AJ72" s="158">
        <v>1</v>
      </c>
      <c r="AK72" s="73">
        <f t="shared" si="7"/>
        <v>108.13008130081302</v>
      </c>
      <c r="AL72" s="162"/>
      <c r="AM72" s="163"/>
      <c r="AN72" s="164"/>
      <c r="AO72" s="170" t="s">
        <v>49</v>
      </c>
      <c r="AP72" s="70">
        <f t="shared" si="8"/>
        <v>0.49</v>
      </c>
      <c r="AQ72" s="72">
        <f>IF(head!F$82="S235",235,IF(head!F$82="S275",275,IF(head!F$82="S355",355,IF(head!F$82="S420",420,460))))^0.5*head!$G$70*1000/(S72*3.1416*210000^0.5)</f>
        <v>2.9995972105274773</v>
      </c>
      <c r="AR72" s="72">
        <f t="shared" si="9"/>
        <v>5.6846930292813429</v>
      </c>
      <c r="AS72" s="72">
        <f t="shared" si="10"/>
        <v>9.5115077827963912E-2</v>
      </c>
      <c r="AT72" s="52">
        <f>IF(head!F$82="S235",235,IF(head!F$82="S275",275,IF(head!F$82="S355",355,IF(head!F$82="S420",420,460))))*AS72*J72/1000</f>
        <v>130.4766221103169</v>
      </c>
      <c r="AU72" s="192" t="s">
        <v>47</v>
      </c>
      <c r="AV72" s="75" t="s">
        <v>47</v>
      </c>
      <c r="AW72" s="75" t="s">
        <v>47</v>
      </c>
      <c r="AX72" s="76" t="s">
        <v>47</v>
      </c>
      <c r="AY72" s="67" t="s">
        <v>47</v>
      </c>
      <c r="AZ72" s="193">
        <v>0</v>
      </c>
      <c r="BA72" s="169" t="str">
        <f t="shared" si="11"/>
        <v>CF CHS 133 x 12,5</v>
      </c>
      <c r="BB72" s="145"/>
    </row>
    <row r="73" spans="1:54" s="146" customFormat="1" ht="13.5" customHeight="1">
      <c r="A73" s="147" t="s">
        <v>359</v>
      </c>
      <c r="B73" s="62">
        <f t="shared" si="6"/>
        <v>154.43980400819274</v>
      </c>
      <c r="C73" s="149">
        <v>133</v>
      </c>
      <c r="D73" s="149"/>
      <c r="E73" s="150" t="s">
        <v>829</v>
      </c>
      <c r="F73" s="149"/>
      <c r="G73" s="149"/>
      <c r="H73" s="151">
        <v>37.146387885586556</v>
      </c>
      <c r="I73" s="152">
        <v>37.856191475757001</v>
      </c>
      <c r="J73" s="152">
        <v>4732.0239344696256</v>
      </c>
      <c r="K73" s="152">
        <v>0.41783182292744248</v>
      </c>
      <c r="L73" s="153">
        <v>8681193.6592804324</v>
      </c>
      <c r="M73" s="154">
        <v>130544.26555308922</v>
      </c>
      <c r="N73" s="154">
        <v>182154.16666666666</v>
      </c>
      <c r="O73" s="155">
        <v>42.831793098118133</v>
      </c>
      <c r="P73" s="154">
        <v>8681193.6592804324</v>
      </c>
      <c r="Q73" s="154">
        <v>130544.26555308922</v>
      </c>
      <c r="R73" s="154">
        <v>182154.16666666666</v>
      </c>
      <c r="S73" s="152">
        <v>42.831793098118133</v>
      </c>
      <c r="T73" s="153">
        <v>17362387.318560865</v>
      </c>
      <c r="U73" s="156"/>
      <c r="V73" s="157">
        <v>1</v>
      </c>
      <c r="W73" s="158">
        <v>1</v>
      </c>
      <c r="X73" s="158">
        <v>1</v>
      </c>
      <c r="Y73" s="158">
        <v>1</v>
      </c>
      <c r="Z73" s="158">
        <v>1</v>
      </c>
      <c r="AA73" s="159">
        <v>1</v>
      </c>
      <c r="AB73" s="158">
        <v>1</v>
      </c>
      <c r="AC73" s="158">
        <v>1</v>
      </c>
      <c r="AD73" s="158">
        <v>1</v>
      </c>
      <c r="AE73" s="160">
        <v>1</v>
      </c>
      <c r="AF73" s="170">
        <v>1</v>
      </c>
      <c r="AG73" s="158">
        <v>1</v>
      </c>
      <c r="AH73" s="158">
        <v>1</v>
      </c>
      <c r="AI73" s="158">
        <v>1</v>
      </c>
      <c r="AJ73" s="158">
        <v>1</v>
      </c>
      <c r="AK73" s="73">
        <f t="shared" si="7"/>
        <v>88.298755186721991</v>
      </c>
      <c r="AL73" s="162"/>
      <c r="AM73" s="163"/>
      <c r="AN73" s="164"/>
      <c r="AO73" s="170" t="s">
        <v>49</v>
      </c>
      <c r="AP73" s="70">
        <f t="shared" si="8"/>
        <v>0.49</v>
      </c>
      <c r="AQ73" s="72">
        <f>IF(head!F$82="S235",235,IF(head!F$82="S275",275,IF(head!F$82="S355",355,IF(head!F$82="S420",420,460))))^0.5*head!$G$70*1000/(S73*3.1416*210000^0.5)</f>
        <v>3.0555358595821298</v>
      </c>
      <c r="AR73" s="72">
        <f t="shared" si="9"/>
        <v>5.867755980193774</v>
      </c>
      <c r="AS73" s="72">
        <f t="shared" si="10"/>
        <v>9.1935651099002549E-2</v>
      </c>
      <c r="AT73" s="52">
        <f>IF(head!F$82="S235",235,IF(head!F$82="S275",275,IF(head!F$82="S355",355,IF(head!F$82="S420",420,460))))*AS73*J73/1000</f>
        <v>154.43980400819274</v>
      </c>
      <c r="AU73" s="192" t="s">
        <v>47</v>
      </c>
      <c r="AV73" s="75" t="s">
        <v>47</v>
      </c>
      <c r="AW73" s="75" t="s">
        <v>47</v>
      </c>
      <c r="AX73" s="76" t="s">
        <v>47</v>
      </c>
      <c r="AY73" s="67" t="s">
        <v>47</v>
      </c>
      <c r="AZ73" s="193">
        <v>0</v>
      </c>
      <c r="BA73" s="169" t="str">
        <f t="shared" si="11"/>
        <v>CF CHS 133 x 14,2</v>
      </c>
      <c r="BB73" s="145"/>
    </row>
    <row r="74" spans="1:54" s="146" customFormat="1" ht="13.5" customHeight="1">
      <c r="A74" s="147" t="s">
        <v>360</v>
      </c>
      <c r="B74" s="62">
        <f t="shared" si="6"/>
        <v>169.0394735074872</v>
      </c>
      <c r="C74" s="149">
        <v>133</v>
      </c>
      <c r="D74" s="149"/>
      <c r="E74" s="150" t="s">
        <v>830</v>
      </c>
      <c r="F74" s="149"/>
      <c r="G74" s="149"/>
      <c r="H74" s="151">
        <v>41.602967971763732</v>
      </c>
      <c r="I74" s="152">
        <v>42.397929143198709</v>
      </c>
      <c r="J74" s="152">
        <v>5299.7411428998394</v>
      </c>
      <c r="K74" s="152">
        <v>0.41783182292744248</v>
      </c>
      <c r="L74" s="153">
        <v>9483277.3049878273</v>
      </c>
      <c r="M74" s="154">
        <v>142605.67375921545</v>
      </c>
      <c r="N74" s="154">
        <v>201365.27733333339</v>
      </c>
      <c r="O74" s="155">
        <v>42.301122916537331</v>
      </c>
      <c r="P74" s="154">
        <v>9483277.3049878273</v>
      </c>
      <c r="Q74" s="154">
        <v>142605.67375921545</v>
      </c>
      <c r="R74" s="154">
        <v>201365.27733333339</v>
      </c>
      <c r="S74" s="152">
        <v>42.301122916537331</v>
      </c>
      <c r="T74" s="153">
        <v>18966554.609975655</v>
      </c>
      <c r="U74" s="156"/>
      <c r="V74" s="157">
        <v>1</v>
      </c>
      <c r="W74" s="158">
        <v>1</v>
      </c>
      <c r="X74" s="158">
        <v>1</v>
      </c>
      <c r="Y74" s="158">
        <v>1</v>
      </c>
      <c r="Z74" s="158">
        <v>1</v>
      </c>
      <c r="AA74" s="159">
        <v>1</v>
      </c>
      <c r="AB74" s="158">
        <v>1</v>
      </c>
      <c r="AC74" s="158">
        <v>1</v>
      </c>
      <c r="AD74" s="158">
        <v>1</v>
      </c>
      <c r="AE74" s="160">
        <v>1</v>
      </c>
      <c r="AF74" s="170">
        <v>1</v>
      </c>
      <c r="AG74" s="158">
        <v>1</v>
      </c>
      <c r="AH74" s="158">
        <v>1</v>
      </c>
      <c r="AI74" s="158">
        <v>1</v>
      </c>
      <c r="AJ74" s="158">
        <v>1</v>
      </c>
      <c r="AK74" s="73">
        <f t="shared" si="7"/>
        <v>78.840043628775987</v>
      </c>
      <c r="AL74" s="162"/>
      <c r="AM74" s="163"/>
      <c r="AN74" s="164"/>
      <c r="AO74" s="170" t="s">
        <v>49</v>
      </c>
      <c r="AP74" s="70">
        <f t="shared" si="8"/>
        <v>0.49</v>
      </c>
      <c r="AQ74" s="72">
        <f>IF(head!F$82="S235",235,IF(head!F$82="S275",275,IF(head!F$82="S355",355,IF(head!F$82="S420",420,460))))^0.5*head!$G$70*1000/(S74*3.1416*210000^0.5)</f>
        <v>3.0938677443557423</v>
      </c>
      <c r="AR74" s="72">
        <f t="shared" si="9"/>
        <v>5.9950064071496012</v>
      </c>
      <c r="AS74" s="72">
        <f t="shared" si="10"/>
        <v>8.9847318608180834E-2</v>
      </c>
      <c r="AT74" s="52">
        <f>IF(head!F$82="S235",235,IF(head!F$82="S275",275,IF(head!F$82="S355",355,IF(head!F$82="S420",420,460))))*AS74*J74/1000</f>
        <v>169.0394735074872</v>
      </c>
      <c r="AU74" s="192" t="s">
        <v>47</v>
      </c>
      <c r="AV74" s="75" t="s">
        <v>47</v>
      </c>
      <c r="AW74" s="75" t="s">
        <v>47</v>
      </c>
      <c r="AX74" s="76" t="s">
        <v>47</v>
      </c>
      <c r="AY74" s="67" t="s">
        <v>47</v>
      </c>
      <c r="AZ74" s="193">
        <v>0</v>
      </c>
      <c r="BA74" s="169" t="str">
        <f t="shared" si="11"/>
        <v>CF CHS 133 x 16</v>
      </c>
      <c r="BB74" s="145"/>
    </row>
    <row r="75" spans="1:54" s="146" customFormat="1" ht="13.5" customHeight="1">
      <c r="A75" s="147" t="s">
        <v>361</v>
      </c>
      <c r="B75" s="62">
        <f t="shared" si="6"/>
        <v>183.10198786480592</v>
      </c>
      <c r="C75" s="149">
        <v>133</v>
      </c>
      <c r="D75" s="149"/>
      <c r="E75" s="150" t="s">
        <v>831</v>
      </c>
      <c r="F75" s="149"/>
      <c r="G75" s="149"/>
      <c r="H75" s="151">
        <v>46.16633236303273</v>
      </c>
      <c r="I75" s="152">
        <v>47.048491580160743</v>
      </c>
      <c r="J75" s="152">
        <v>5881.0614475200928</v>
      </c>
      <c r="K75" s="152">
        <v>0.41783182292744248</v>
      </c>
      <c r="L75" s="153">
        <v>10251425.235708462</v>
      </c>
      <c r="M75" s="154">
        <v>154156.77046178139</v>
      </c>
      <c r="N75" s="154">
        <v>220389.33333333331</v>
      </c>
      <c r="O75" s="155">
        <v>41.750748496284473</v>
      </c>
      <c r="P75" s="154">
        <v>10251425.235708462</v>
      </c>
      <c r="Q75" s="154">
        <v>154156.77046178139</v>
      </c>
      <c r="R75" s="154">
        <v>220389.33333333331</v>
      </c>
      <c r="S75" s="152">
        <v>41.750748496284473</v>
      </c>
      <c r="T75" s="153">
        <v>20502850.471416924</v>
      </c>
      <c r="U75" s="156"/>
      <c r="V75" s="157">
        <v>1</v>
      </c>
      <c r="W75" s="158">
        <v>1</v>
      </c>
      <c r="X75" s="158">
        <v>1</v>
      </c>
      <c r="Y75" s="158">
        <v>1</v>
      </c>
      <c r="Z75" s="158">
        <v>1</v>
      </c>
      <c r="AA75" s="159">
        <v>1</v>
      </c>
      <c r="AB75" s="158">
        <v>1</v>
      </c>
      <c r="AC75" s="158">
        <v>1</v>
      </c>
      <c r="AD75" s="158">
        <v>1</v>
      </c>
      <c r="AE75" s="160">
        <v>1</v>
      </c>
      <c r="AF75" s="170">
        <v>1</v>
      </c>
      <c r="AG75" s="158">
        <v>1</v>
      </c>
      <c r="AH75" s="158">
        <v>1</v>
      </c>
      <c r="AI75" s="158">
        <v>1</v>
      </c>
      <c r="AJ75" s="158">
        <v>1</v>
      </c>
      <c r="AK75" s="73">
        <f t="shared" si="7"/>
        <v>71.047008547008545</v>
      </c>
      <c r="AL75" s="162"/>
      <c r="AM75" s="163"/>
      <c r="AN75" s="164"/>
      <c r="AO75" s="170" t="s">
        <v>49</v>
      </c>
      <c r="AP75" s="70">
        <f t="shared" si="8"/>
        <v>0.49</v>
      </c>
      <c r="AQ75" s="72">
        <f>IF(head!F$82="S235",235,IF(head!F$82="S275",275,IF(head!F$82="S355",355,IF(head!F$82="S420",420,460))))^0.5*head!$G$70*1000/(S75*3.1416*210000^0.5)</f>
        <v>3.1346522985845211</v>
      </c>
      <c r="AR75" s="72">
        <f t="shared" si="9"/>
        <v>6.1320123296638185</v>
      </c>
      <c r="AS75" s="72">
        <f t="shared" si="10"/>
        <v>8.7701897371602541E-2</v>
      </c>
      <c r="AT75" s="52">
        <f>IF(head!F$82="S235",235,IF(head!F$82="S275",275,IF(head!F$82="S355",355,IF(head!F$82="S420",420,460))))*AS75*J75/1000</f>
        <v>183.10198786480592</v>
      </c>
      <c r="AU75" s="192" t="s">
        <v>47</v>
      </c>
      <c r="AV75" s="75" t="s">
        <v>47</v>
      </c>
      <c r="AW75" s="75" t="s">
        <v>47</v>
      </c>
      <c r="AX75" s="76" t="s">
        <v>47</v>
      </c>
      <c r="AY75" s="67" t="s">
        <v>47</v>
      </c>
      <c r="AZ75" s="193">
        <v>0</v>
      </c>
      <c r="BA75" s="169" t="str">
        <f t="shared" si="11"/>
        <v>CF CHS 133 x 17,5</v>
      </c>
      <c r="BB75" s="145"/>
    </row>
    <row r="76" spans="1:54" s="146" customFormat="1" ht="13.5" customHeight="1">
      <c r="A76" s="147" t="s">
        <v>362</v>
      </c>
      <c r="B76" s="62">
        <f t="shared" si="6"/>
        <v>193.78757542082357</v>
      </c>
      <c r="C76" s="149">
        <v>133</v>
      </c>
      <c r="D76" s="149"/>
      <c r="E76" s="150" t="s">
        <v>832</v>
      </c>
      <c r="F76" s="149"/>
      <c r="G76" s="149"/>
      <c r="H76" s="151">
        <v>49.847061585886692</v>
      </c>
      <c r="I76" s="152">
        <v>50.799553208546946</v>
      </c>
      <c r="J76" s="152">
        <v>6349.9441510683691</v>
      </c>
      <c r="K76" s="152">
        <v>0.41783182292744248</v>
      </c>
      <c r="L76" s="153">
        <v>10831814.107194312</v>
      </c>
      <c r="M76" s="154">
        <v>162884.42266457609</v>
      </c>
      <c r="N76" s="154">
        <v>235240.83333333334</v>
      </c>
      <c r="O76" s="155">
        <v>41.301483024220815</v>
      </c>
      <c r="P76" s="154">
        <v>10831814.107194312</v>
      </c>
      <c r="Q76" s="154">
        <v>162884.42266457609</v>
      </c>
      <c r="R76" s="154">
        <v>235240.83333333334</v>
      </c>
      <c r="S76" s="152">
        <v>41.301483024220815</v>
      </c>
      <c r="T76" s="153">
        <v>21663628.214388624</v>
      </c>
      <c r="U76" s="156"/>
      <c r="V76" s="157">
        <v>1</v>
      </c>
      <c r="W76" s="158">
        <v>1</v>
      </c>
      <c r="X76" s="158">
        <v>1</v>
      </c>
      <c r="Y76" s="158">
        <v>1</v>
      </c>
      <c r="Z76" s="158">
        <v>1</v>
      </c>
      <c r="AA76" s="159">
        <v>1</v>
      </c>
      <c r="AB76" s="158">
        <v>1</v>
      </c>
      <c r="AC76" s="158">
        <v>1</v>
      </c>
      <c r="AD76" s="158">
        <v>1</v>
      </c>
      <c r="AE76" s="160">
        <v>1</v>
      </c>
      <c r="AF76" s="170">
        <v>1</v>
      </c>
      <c r="AG76" s="158">
        <v>1</v>
      </c>
      <c r="AH76" s="158">
        <v>1</v>
      </c>
      <c r="AI76" s="158">
        <v>1</v>
      </c>
      <c r="AJ76" s="158">
        <v>1</v>
      </c>
      <c r="AK76" s="73">
        <f t="shared" si="7"/>
        <v>65.800865800865807</v>
      </c>
      <c r="AL76" s="162"/>
      <c r="AM76" s="163"/>
      <c r="AN76" s="164"/>
      <c r="AO76" s="170" t="s">
        <v>49</v>
      </c>
      <c r="AP76" s="70">
        <f t="shared" si="8"/>
        <v>0.49</v>
      </c>
      <c r="AQ76" s="72">
        <f>IF(head!F$82="S235",235,IF(head!F$82="S275",275,IF(head!F$82="S355",355,IF(head!F$82="S420",420,460))))^0.5*head!$G$70*1000/(S76*3.1416*210000^0.5)</f>
        <v>3.168750130951778</v>
      </c>
      <c r="AR76" s="72">
        <f t="shared" si="9"/>
        <v>6.2478324782866412</v>
      </c>
      <c r="AS76" s="72">
        <f t="shared" si="10"/>
        <v>8.5966188230383309E-2</v>
      </c>
      <c r="AT76" s="52">
        <f>IF(head!F$82="S235",235,IF(head!F$82="S275",275,IF(head!F$82="S355",355,IF(head!F$82="S420",420,460))))*AS76*J76/1000</f>
        <v>193.78757542082357</v>
      </c>
      <c r="AU76" s="192" t="s">
        <v>47</v>
      </c>
      <c r="AV76" s="75" t="s">
        <v>47</v>
      </c>
      <c r="AW76" s="75" t="s">
        <v>47</v>
      </c>
      <c r="AX76" s="76" t="s">
        <v>47</v>
      </c>
      <c r="AY76" s="67" t="s">
        <v>47</v>
      </c>
      <c r="AZ76" s="193">
        <v>0</v>
      </c>
      <c r="BA76" s="169" t="str">
        <f t="shared" si="11"/>
        <v>CF CHS 133 x 20</v>
      </c>
      <c r="BB76" s="145"/>
    </row>
    <row r="77" spans="1:54" s="146" customFormat="1" ht="13.5" customHeight="1">
      <c r="A77" s="147" t="s">
        <v>363</v>
      </c>
      <c r="B77" s="62">
        <f t="shared" si="6"/>
        <v>209.65459918063584</v>
      </c>
      <c r="C77" s="149">
        <v>133</v>
      </c>
      <c r="D77" s="149"/>
      <c r="E77" s="150" t="s">
        <v>833</v>
      </c>
      <c r="F77" s="149"/>
      <c r="G77" s="149"/>
      <c r="H77" s="151">
        <v>55.734995267336515</v>
      </c>
      <c r="I77" s="152">
        <v>56.799995176903458</v>
      </c>
      <c r="J77" s="152">
        <v>7099.9993971129325</v>
      </c>
      <c r="K77" s="152">
        <v>0.41783182292744248</v>
      </c>
      <c r="L77" s="153">
        <v>11687486.507572526</v>
      </c>
      <c r="M77" s="154">
        <v>175751.67680560186</v>
      </c>
      <c r="N77" s="154">
        <v>258046.66666666669</v>
      </c>
      <c r="O77" s="155">
        <v>40.572466033013079</v>
      </c>
      <c r="P77" s="154">
        <v>11687486.507572526</v>
      </c>
      <c r="Q77" s="154">
        <v>175751.67680560186</v>
      </c>
      <c r="R77" s="154">
        <v>258046.66666666669</v>
      </c>
      <c r="S77" s="152">
        <v>40.572466033013079</v>
      </c>
      <c r="T77" s="153">
        <v>23374973.015145052</v>
      </c>
      <c r="U77" s="156"/>
      <c r="V77" s="157">
        <v>1</v>
      </c>
      <c r="W77" s="158">
        <v>1</v>
      </c>
      <c r="X77" s="158">
        <v>1</v>
      </c>
      <c r="Y77" s="158">
        <v>1</v>
      </c>
      <c r="Z77" s="158">
        <v>1</v>
      </c>
      <c r="AA77" s="159">
        <v>1</v>
      </c>
      <c r="AB77" s="158">
        <v>1</v>
      </c>
      <c r="AC77" s="158">
        <v>1</v>
      </c>
      <c r="AD77" s="158">
        <v>1</v>
      </c>
      <c r="AE77" s="160">
        <v>1</v>
      </c>
      <c r="AF77" s="170">
        <v>1</v>
      </c>
      <c r="AG77" s="158">
        <v>1</v>
      </c>
      <c r="AH77" s="158">
        <v>1</v>
      </c>
      <c r="AI77" s="158">
        <v>1</v>
      </c>
      <c r="AJ77" s="158">
        <v>1</v>
      </c>
      <c r="AK77" s="73">
        <f t="shared" si="7"/>
        <v>58.849557522123888</v>
      </c>
      <c r="AL77" s="162"/>
      <c r="AM77" s="163"/>
      <c r="AN77" s="164"/>
      <c r="AO77" s="170" t="s">
        <v>49</v>
      </c>
      <c r="AP77" s="70">
        <f t="shared" si="8"/>
        <v>0.49</v>
      </c>
      <c r="AQ77" s="72">
        <f>IF(head!F$82="S235",235,IF(head!F$82="S275",275,IF(head!F$82="S355",355,IF(head!F$82="S420",420,460))))^0.5*head!$G$70*1000/(S77*3.1416*210000^0.5)</f>
        <v>3.2256870862868547</v>
      </c>
      <c r="AR77" s="72">
        <f t="shared" si="9"/>
        <v>6.4438219254591687</v>
      </c>
      <c r="AS77" s="72">
        <f t="shared" si="10"/>
        <v>8.3179772657480305E-2</v>
      </c>
      <c r="AT77" s="52">
        <f>IF(head!F$82="S235",235,IF(head!F$82="S275",275,IF(head!F$82="S355",355,IF(head!F$82="S420",420,460))))*AS77*J77/1000</f>
        <v>209.65459918063584</v>
      </c>
      <c r="AU77" s="192" t="s">
        <v>47</v>
      </c>
      <c r="AV77" s="75" t="s">
        <v>47</v>
      </c>
      <c r="AW77" s="75" t="s">
        <v>47</v>
      </c>
      <c r="AX77" s="76" t="s">
        <v>47</v>
      </c>
      <c r="AY77" s="67" t="s">
        <v>47</v>
      </c>
      <c r="AZ77" s="193">
        <v>0</v>
      </c>
      <c r="BA77" s="169" t="str">
        <f t="shared" si="11"/>
        <v>CF CHS 139,7 x 5</v>
      </c>
      <c r="BB77" s="145"/>
    </row>
    <row r="78" spans="1:54" s="146" customFormat="1" ht="13.5" customHeight="1">
      <c r="A78" s="147" t="s">
        <v>364</v>
      </c>
      <c r="B78" s="62">
        <f t="shared" si="6"/>
        <v>83.960386980560585</v>
      </c>
      <c r="C78" s="149">
        <v>139.69999999999999</v>
      </c>
      <c r="D78" s="149"/>
      <c r="E78" s="150" t="s">
        <v>822</v>
      </c>
      <c r="F78" s="149"/>
      <c r="G78" s="149"/>
      <c r="H78" s="151">
        <v>16.609521819712896</v>
      </c>
      <c r="I78" s="152">
        <v>16.926901217541804</v>
      </c>
      <c r="J78" s="152">
        <v>2115.8626521927258</v>
      </c>
      <c r="K78" s="152">
        <v>0.43888049370649407</v>
      </c>
      <c r="L78" s="153">
        <v>4805412.3694160394</v>
      </c>
      <c r="M78" s="154">
        <v>68796.168495576814</v>
      </c>
      <c r="N78" s="154">
        <v>90762.11666666661</v>
      </c>
      <c r="O78" s="155">
        <v>47.656439753720576</v>
      </c>
      <c r="P78" s="154">
        <v>4805412.3694160394</v>
      </c>
      <c r="Q78" s="154">
        <v>68796.168495576814</v>
      </c>
      <c r="R78" s="154">
        <v>90762.11666666661</v>
      </c>
      <c r="S78" s="152">
        <v>47.656439753720576</v>
      </c>
      <c r="T78" s="153">
        <v>9610824.7388320789</v>
      </c>
      <c r="U78" s="156"/>
      <c r="V78" s="157">
        <v>1</v>
      </c>
      <c r="W78" s="158">
        <v>1</v>
      </c>
      <c r="X78" s="158">
        <v>1</v>
      </c>
      <c r="Y78" s="158">
        <v>1</v>
      </c>
      <c r="Z78" s="158">
        <v>2</v>
      </c>
      <c r="AA78" s="159">
        <v>1</v>
      </c>
      <c r="AB78" s="158">
        <v>1</v>
      </c>
      <c r="AC78" s="158">
        <v>2</v>
      </c>
      <c r="AD78" s="158">
        <v>2</v>
      </c>
      <c r="AE78" s="160">
        <v>3</v>
      </c>
      <c r="AF78" s="170">
        <v>1</v>
      </c>
      <c r="AG78" s="158">
        <v>1</v>
      </c>
      <c r="AH78" s="158">
        <v>2</v>
      </c>
      <c r="AI78" s="158">
        <v>2</v>
      </c>
      <c r="AJ78" s="158">
        <v>3</v>
      </c>
      <c r="AK78" s="73">
        <f t="shared" si="7"/>
        <v>207.4239049740163</v>
      </c>
      <c r="AL78" s="162"/>
      <c r="AM78" s="163"/>
      <c r="AN78" s="164"/>
      <c r="AO78" s="170" t="s">
        <v>49</v>
      </c>
      <c r="AP78" s="70">
        <f t="shared" si="8"/>
        <v>0.49</v>
      </c>
      <c r="AQ78" s="72">
        <f>IF(head!F$82="S235",235,IF(head!F$82="S275",275,IF(head!F$82="S355",355,IF(head!F$82="S420",420,460))))^0.5*head!$G$70*1000/(S78*3.1416*210000^0.5)</f>
        <v>2.7461992632650425</v>
      </c>
      <c r="AR78" s="72">
        <f t="shared" si="9"/>
        <v>4.8946240162786667</v>
      </c>
      <c r="AS78" s="72">
        <f t="shared" si="10"/>
        <v>0.11177858453832411</v>
      </c>
      <c r="AT78" s="52">
        <f>IF(head!F$82="S235",235,IF(head!F$82="S275",275,IF(head!F$82="S355",355,IF(head!F$82="S420",420,460))))*AS78*J78/1000</f>
        <v>83.960386980560585</v>
      </c>
      <c r="AU78" s="192" t="s">
        <v>47</v>
      </c>
      <c r="AV78" s="75" t="s">
        <v>47</v>
      </c>
      <c r="AW78" s="75" t="s">
        <v>47</v>
      </c>
      <c r="AX78" s="76" t="s">
        <v>47</v>
      </c>
      <c r="AY78" s="67" t="s">
        <v>47</v>
      </c>
      <c r="AZ78" s="193">
        <v>0</v>
      </c>
      <c r="BA78" s="169" t="str">
        <f t="shared" si="11"/>
        <v>CF CHS 139,7 x 5,6</v>
      </c>
      <c r="BB78" s="145"/>
    </row>
    <row r="79" spans="1:54" s="146" customFormat="1" ht="13.5" customHeight="1">
      <c r="A79" s="147" t="s">
        <v>365</v>
      </c>
      <c r="B79" s="62">
        <f t="shared" si="6"/>
        <v>92.890150383076545</v>
      </c>
      <c r="C79" s="149">
        <v>139.69999999999999</v>
      </c>
      <c r="D79" s="149"/>
      <c r="E79" s="150" t="s">
        <v>823</v>
      </c>
      <c r="F79" s="149"/>
      <c r="G79" s="149"/>
      <c r="H79" s="151">
        <v>18.519801790247339</v>
      </c>
      <c r="I79" s="152">
        <v>18.873683353118306</v>
      </c>
      <c r="J79" s="152">
        <v>2359.2104191397884</v>
      </c>
      <c r="K79" s="152">
        <v>0.43888049370649407</v>
      </c>
      <c r="L79" s="153">
        <v>5312402.1945194239</v>
      </c>
      <c r="M79" s="154">
        <v>76054.433708223689</v>
      </c>
      <c r="N79" s="154">
        <v>100762.27466666652</v>
      </c>
      <c r="O79" s="155">
        <v>47.452831843842567</v>
      </c>
      <c r="P79" s="154">
        <v>5312402.1945194239</v>
      </c>
      <c r="Q79" s="154">
        <v>76054.433708223689</v>
      </c>
      <c r="R79" s="154">
        <v>100762.27466666652</v>
      </c>
      <c r="S79" s="152">
        <v>47.452831843842567</v>
      </c>
      <c r="T79" s="153">
        <v>10624804.389038848</v>
      </c>
      <c r="U79" s="156"/>
      <c r="V79" s="157">
        <v>1</v>
      </c>
      <c r="W79" s="158">
        <v>1</v>
      </c>
      <c r="X79" s="158">
        <v>1</v>
      </c>
      <c r="Y79" s="158">
        <v>1</v>
      </c>
      <c r="Z79" s="158">
        <v>1</v>
      </c>
      <c r="AA79" s="159">
        <v>1</v>
      </c>
      <c r="AB79" s="158">
        <v>1</v>
      </c>
      <c r="AC79" s="158">
        <v>2</v>
      </c>
      <c r="AD79" s="158">
        <v>2</v>
      </c>
      <c r="AE79" s="160">
        <v>2</v>
      </c>
      <c r="AF79" s="170">
        <v>1</v>
      </c>
      <c r="AG79" s="158">
        <v>1</v>
      </c>
      <c r="AH79" s="158">
        <v>2</v>
      </c>
      <c r="AI79" s="158">
        <v>2</v>
      </c>
      <c r="AJ79" s="158">
        <v>2</v>
      </c>
      <c r="AK79" s="73">
        <f t="shared" si="7"/>
        <v>186.02855012251004</v>
      </c>
      <c r="AL79" s="162"/>
      <c r="AM79" s="163"/>
      <c r="AN79" s="164"/>
      <c r="AO79" s="170" t="s">
        <v>49</v>
      </c>
      <c r="AP79" s="70">
        <f t="shared" si="8"/>
        <v>0.49</v>
      </c>
      <c r="AQ79" s="72">
        <f>IF(head!F$82="S235",235,IF(head!F$82="S275",275,IF(head!F$82="S355",355,IF(head!F$82="S420",420,460))))^0.5*head!$G$70*1000/(S79*3.1416*210000^0.5)</f>
        <v>2.7579824987512196</v>
      </c>
      <c r="AR79" s="72">
        <f t="shared" si="9"/>
        <v>4.9299394439030593</v>
      </c>
      <c r="AS79" s="72">
        <f t="shared" si="10"/>
        <v>0.11091100366566412</v>
      </c>
      <c r="AT79" s="52">
        <f>IF(head!F$82="S235",235,IF(head!F$82="S275",275,IF(head!F$82="S355",355,IF(head!F$82="S420",420,460))))*AS79*J79/1000</f>
        <v>92.890150383076545</v>
      </c>
      <c r="AU79" s="192" t="s">
        <v>47</v>
      </c>
      <c r="AV79" s="75" t="s">
        <v>47</v>
      </c>
      <c r="AW79" s="75" t="s">
        <v>47</v>
      </c>
      <c r="AX79" s="76" t="s">
        <v>47</v>
      </c>
      <c r="AY79" s="67" t="s">
        <v>47</v>
      </c>
      <c r="AZ79" s="193">
        <v>0</v>
      </c>
      <c r="BA79" s="169" t="str">
        <f t="shared" si="11"/>
        <v>CF CHS 139,7 x 6,3</v>
      </c>
      <c r="BB79" s="145"/>
    </row>
    <row r="80" spans="1:54" s="146" customFormat="1" ht="13.5" customHeight="1">
      <c r="A80" s="147" t="s">
        <v>366</v>
      </c>
      <c r="B80" s="62">
        <f t="shared" si="6"/>
        <v>103.01544064260256</v>
      </c>
      <c r="C80" s="149">
        <v>139.69999999999999</v>
      </c>
      <c r="D80" s="149"/>
      <c r="E80" s="150" t="s">
        <v>824</v>
      </c>
      <c r="F80" s="149"/>
      <c r="G80" s="149"/>
      <c r="H80" s="151">
        <v>20.726019788749969</v>
      </c>
      <c r="I80" s="152">
        <v>21.122058383439459</v>
      </c>
      <c r="J80" s="152">
        <v>2640.2572979299325</v>
      </c>
      <c r="K80" s="152">
        <v>0.43888049370649407</v>
      </c>
      <c r="L80" s="153">
        <v>5886206.121613102</v>
      </c>
      <c r="M80" s="154">
        <v>84269.235814074491</v>
      </c>
      <c r="N80" s="154">
        <v>112195.37699999989</v>
      </c>
      <c r="O80" s="155">
        <v>47.216588716255217</v>
      </c>
      <c r="P80" s="154">
        <v>5886206.121613102</v>
      </c>
      <c r="Q80" s="154">
        <v>84269.235814074491</v>
      </c>
      <c r="R80" s="154">
        <v>112195.37699999989</v>
      </c>
      <c r="S80" s="152">
        <v>47.216588716255217</v>
      </c>
      <c r="T80" s="153">
        <v>11772412.243226204</v>
      </c>
      <c r="U80" s="156"/>
      <c r="V80" s="157">
        <v>1</v>
      </c>
      <c r="W80" s="158">
        <v>1</v>
      </c>
      <c r="X80" s="158">
        <v>1</v>
      </c>
      <c r="Y80" s="158">
        <v>1</v>
      </c>
      <c r="Z80" s="158">
        <v>1</v>
      </c>
      <c r="AA80" s="159">
        <v>1</v>
      </c>
      <c r="AB80" s="158">
        <v>1</v>
      </c>
      <c r="AC80" s="158">
        <v>1</v>
      </c>
      <c r="AD80" s="158">
        <v>2</v>
      </c>
      <c r="AE80" s="160">
        <v>2</v>
      </c>
      <c r="AF80" s="170">
        <v>1</v>
      </c>
      <c r="AG80" s="158">
        <v>1</v>
      </c>
      <c r="AH80" s="158">
        <v>1</v>
      </c>
      <c r="AI80" s="158">
        <v>2</v>
      </c>
      <c r="AJ80" s="158">
        <v>2</v>
      </c>
      <c r="AK80" s="73">
        <f t="shared" si="7"/>
        <v>166.22641060422177</v>
      </c>
      <c r="AL80" s="162"/>
      <c r="AM80" s="163"/>
      <c r="AN80" s="164"/>
      <c r="AO80" s="170" t="s">
        <v>49</v>
      </c>
      <c r="AP80" s="70">
        <f t="shared" si="8"/>
        <v>0.49</v>
      </c>
      <c r="AQ80" s="72">
        <f>IF(head!F$82="S235",235,IF(head!F$82="S275",275,IF(head!F$82="S355",355,IF(head!F$82="S420",420,460))))^0.5*head!$G$70*1000/(S80*3.1416*210000^0.5)</f>
        <v>2.771781767801587</v>
      </c>
      <c r="AR80" s="72">
        <f t="shared" si="9"/>
        <v>4.9714736172700338</v>
      </c>
      <c r="AS80" s="72">
        <f t="shared" si="10"/>
        <v>0.10990759880328073</v>
      </c>
      <c r="AT80" s="52">
        <f>IF(head!F$82="S235",235,IF(head!F$82="S275",275,IF(head!F$82="S355",355,IF(head!F$82="S420",420,460))))*AS80*J80/1000</f>
        <v>103.01544064260256</v>
      </c>
      <c r="AU80" s="192" t="s">
        <v>47</v>
      </c>
      <c r="AV80" s="75" t="s">
        <v>47</v>
      </c>
      <c r="AW80" s="75" t="s">
        <v>47</v>
      </c>
      <c r="AX80" s="76" t="s">
        <v>47</v>
      </c>
      <c r="AY80" s="67" t="s">
        <v>47</v>
      </c>
      <c r="AZ80" s="193">
        <v>0</v>
      </c>
      <c r="BA80" s="169" t="str">
        <f t="shared" si="11"/>
        <v>CF CHS 139,7 x 7,1</v>
      </c>
      <c r="BB80" s="145"/>
    </row>
    <row r="81" spans="1:54" s="146" customFormat="1" ht="13.5" customHeight="1">
      <c r="A81" s="147" t="s">
        <v>367</v>
      </c>
      <c r="B81" s="62">
        <f t="shared" si="6"/>
        <v>114.20867726076031</v>
      </c>
      <c r="C81" s="149">
        <v>139.69999999999999</v>
      </c>
      <c r="D81" s="149"/>
      <c r="E81" s="150" t="s">
        <v>825</v>
      </c>
      <c r="F81" s="149"/>
      <c r="G81" s="149"/>
      <c r="H81" s="151">
        <v>23.217817984241876</v>
      </c>
      <c r="I81" s="152">
        <v>23.661470557189173</v>
      </c>
      <c r="J81" s="152">
        <v>2957.6838196486469</v>
      </c>
      <c r="K81" s="152">
        <v>0.43888049370649407</v>
      </c>
      <c r="L81" s="153">
        <v>6519167.6997642405</v>
      </c>
      <c r="M81" s="154">
        <v>93330.962058185265</v>
      </c>
      <c r="N81" s="154">
        <v>124956.89966666664</v>
      </c>
      <c r="O81" s="155">
        <v>46.948335966251243</v>
      </c>
      <c r="P81" s="154">
        <v>6519167.6997642405</v>
      </c>
      <c r="Q81" s="154">
        <v>93330.962058185265</v>
      </c>
      <c r="R81" s="154">
        <v>124956.89966666664</v>
      </c>
      <c r="S81" s="152">
        <v>46.948335966251243</v>
      </c>
      <c r="T81" s="153">
        <v>13038335.399528481</v>
      </c>
      <c r="U81" s="156"/>
      <c r="V81" s="157">
        <v>1</v>
      </c>
      <c r="W81" s="158">
        <v>1</v>
      </c>
      <c r="X81" s="158">
        <v>1</v>
      </c>
      <c r="Y81" s="158">
        <v>1</v>
      </c>
      <c r="Z81" s="158">
        <v>1</v>
      </c>
      <c r="AA81" s="159">
        <v>1</v>
      </c>
      <c r="AB81" s="158">
        <v>1</v>
      </c>
      <c r="AC81" s="158">
        <v>1</v>
      </c>
      <c r="AD81" s="158">
        <v>1</v>
      </c>
      <c r="AE81" s="160">
        <v>2</v>
      </c>
      <c r="AF81" s="170">
        <v>1</v>
      </c>
      <c r="AG81" s="158">
        <v>1</v>
      </c>
      <c r="AH81" s="158">
        <v>1</v>
      </c>
      <c r="AI81" s="158">
        <v>1</v>
      </c>
      <c r="AJ81" s="158">
        <v>2</v>
      </c>
      <c r="AK81" s="73">
        <f t="shared" si="7"/>
        <v>148.3865485522486</v>
      </c>
      <c r="AL81" s="162"/>
      <c r="AM81" s="163"/>
      <c r="AN81" s="164"/>
      <c r="AO81" s="170" t="s">
        <v>49</v>
      </c>
      <c r="AP81" s="70">
        <f t="shared" si="8"/>
        <v>0.49</v>
      </c>
      <c r="AQ81" s="72">
        <f>IF(head!F$82="S235",235,IF(head!F$82="S275",275,IF(head!F$82="S355",355,IF(head!F$82="S420",420,460))))^0.5*head!$G$70*1000/(S81*3.1416*210000^0.5)</f>
        <v>2.7876191359706772</v>
      </c>
      <c r="AR81" s="72">
        <f t="shared" si="9"/>
        <v>5.0193769119277682</v>
      </c>
      <c r="AS81" s="72">
        <f t="shared" si="10"/>
        <v>0.1087724731412789</v>
      </c>
      <c r="AT81" s="52">
        <f>IF(head!F$82="S235",235,IF(head!F$82="S275",275,IF(head!F$82="S355",355,IF(head!F$82="S420",420,460))))*AS81*J81/1000</f>
        <v>114.20867726076031</v>
      </c>
      <c r="AU81" s="192" t="s">
        <v>47</v>
      </c>
      <c r="AV81" s="75" t="s">
        <v>47</v>
      </c>
      <c r="AW81" s="75" t="s">
        <v>47</v>
      </c>
      <c r="AX81" s="76" t="s">
        <v>47</v>
      </c>
      <c r="AY81" s="67" t="s">
        <v>47</v>
      </c>
      <c r="AZ81" s="193">
        <v>0</v>
      </c>
      <c r="BA81" s="169" t="str">
        <f t="shared" si="11"/>
        <v>CF CHS 139,7 x 8</v>
      </c>
      <c r="BB81" s="145"/>
    </row>
    <row r="82" spans="1:54" s="146" customFormat="1" ht="13.5" customHeight="1">
      <c r="A82" s="147" t="s">
        <v>368</v>
      </c>
      <c r="B82" s="62">
        <f t="shared" si="6"/>
        <v>126.32935550580314</v>
      </c>
      <c r="C82" s="149">
        <v>139.69999999999999</v>
      </c>
      <c r="D82" s="149"/>
      <c r="E82" s="150" t="s">
        <v>826</v>
      </c>
      <c r="F82" s="149"/>
      <c r="G82" s="149"/>
      <c r="H82" s="151">
        <v>25.983358855604312</v>
      </c>
      <c r="I82" s="152">
        <v>26.479856158577643</v>
      </c>
      <c r="J82" s="152">
        <v>3309.9820198222055</v>
      </c>
      <c r="K82" s="152">
        <v>0.43888049370649407</v>
      </c>
      <c r="L82" s="153">
        <v>7202889.1106328228</v>
      </c>
      <c r="M82" s="154">
        <v>103119.38597899533</v>
      </c>
      <c r="N82" s="154">
        <v>138929.78666666662</v>
      </c>
      <c r="O82" s="155">
        <v>46.648807594621317</v>
      </c>
      <c r="P82" s="154">
        <v>7202889.1106328228</v>
      </c>
      <c r="Q82" s="154">
        <v>103119.38597899533</v>
      </c>
      <c r="R82" s="154">
        <v>138929.78666666662</v>
      </c>
      <c r="S82" s="152">
        <v>46.648807594621317</v>
      </c>
      <c r="T82" s="153">
        <v>14405778.221265646</v>
      </c>
      <c r="U82" s="156"/>
      <c r="V82" s="157">
        <v>1</v>
      </c>
      <c r="W82" s="158">
        <v>1</v>
      </c>
      <c r="X82" s="158">
        <v>1</v>
      </c>
      <c r="Y82" s="158">
        <v>1</v>
      </c>
      <c r="Z82" s="158">
        <v>1</v>
      </c>
      <c r="AA82" s="159">
        <v>1</v>
      </c>
      <c r="AB82" s="158">
        <v>1</v>
      </c>
      <c r="AC82" s="158">
        <v>1</v>
      </c>
      <c r="AD82" s="158">
        <v>1</v>
      </c>
      <c r="AE82" s="160">
        <v>1</v>
      </c>
      <c r="AF82" s="170">
        <v>1</v>
      </c>
      <c r="AG82" s="158">
        <v>1</v>
      </c>
      <c r="AH82" s="158">
        <v>1</v>
      </c>
      <c r="AI82" s="158">
        <v>1</v>
      </c>
      <c r="AJ82" s="158">
        <v>1</v>
      </c>
      <c r="AK82" s="73">
        <f t="shared" si="7"/>
        <v>132.59301442672742</v>
      </c>
      <c r="AL82" s="162"/>
      <c r="AM82" s="163"/>
      <c r="AN82" s="164"/>
      <c r="AO82" s="170" t="s">
        <v>49</v>
      </c>
      <c r="AP82" s="70">
        <f t="shared" si="8"/>
        <v>0.49</v>
      </c>
      <c r="AQ82" s="72">
        <f>IF(head!F$82="S235",235,IF(head!F$82="S275",275,IF(head!F$82="S355",355,IF(head!F$82="S420",420,460))))^0.5*head!$G$70*1000/(S82*3.1416*210000^0.5)</f>
        <v>2.8055182220047219</v>
      </c>
      <c r="AR82" s="72">
        <f t="shared" si="9"/>
        <v>5.0738182113914245</v>
      </c>
      <c r="AS82" s="72">
        <f t="shared" si="10"/>
        <v>0.10751035423209983</v>
      </c>
      <c r="AT82" s="52">
        <f>IF(head!F$82="S235",235,IF(head!F$82="S275",275,IF(head!F$82="S355",355,IF(head!F$82="S420",420,460))))*AS82*J82/1000</f>
        <v>126.32935550580314</v>
      </c>
      <c r="AU82" s="192" t="s">
        <v>47</v>
      </c>
      <c r="AV82" s="75" t="s">
        <v>47</v>
      </c>
      <c r="AW82" s="75" t="s">
        <v>47</v>
      </c>
      <c r="AX82" s="76" t="s">
        <v>47</v>
      </c>
      <c r="AY82" s="67" t="s">
        <v>47</v>
      </c>
      <c r="AZ82" s="193">
        <v>0</v>
      </c>
      <c r="BA82" s="169" t="str">
        <f t="shared" si="11"/>
        <v>CF CHS 139,7 x 10</v>
      </c>
      <c r="BB82" s="145"/>
    </row>
    <row r="83" spans="1:54" s="146" customFormat="1" ht="13.5" customHeight="1">
      <c r="A83" s="147" t="s">
        <v>369</v>
      </c>
      <c r="B83" s="62">
        <f t="shared" si="6"/>
        <v>151.5389802741947</v>
      </c>
      <c r="C83" s="149">
        <v>139.69999999999999</v>
      </c>
      <c r="D83" s="149"/>
      <c r="E83" s="150" t="s">
        <v>828</v>
      </c>
      <c r="F83" s="149"/>
      <c r="G83" s="149"/>
      <c r="H83" s="151">
        <v>31.985968522891799</v>
      </c>
      <c r="I83" s="152">
        <v>32.597165373647691</v>
      </c>
      <c r="J83" s="152">
        <v>4074.6456717059618</v>
      </c>
      <c r="K83" s="152">
        <v>0.43888049370649407</v>
      </c>
      <c r="L83" s="153">
        <v>8618940.0968398396</v>
      </c>
      <c r="M83" s="154">
        <v>123392.12737064912</v>
      </c>
      <c r="N83" s="154">
        <v>168554.23333333328</v>
      </c>
      <c r="O83" s="155">
        <v>45.991969407712901</v>
      </c>
      <c r="P83" s="154">
        <v>8618940.0968398396</v>
      </c>
      <c r="Q83" s="154">
        <v>123392.12737064912</v>
      </c>
      <c r="R83" s="154">
        <v>168554.23333333328</v>
      </c>
      <c r="S83" s="152">
        <v>45.991969407712901</v>
      </c>
      <c r="T83" s="153">
        <v>17237880.193679679</v>
      </c>
      <c r="U83" s="156"/>
      <c r="V83" s="157">
        <v>1</v>
      </c>
      <c r="W83" s="158">
        <v>1</v>
      </c>
      <c r="X83" s="158">
        <v>1</v>
      </c>
      <c r="Y83" s="158">
        <v>1</v>
      </c>
      <c r="Z83" s="158">
        <v>1</v>
      </c>
      <c r="AA83" s="159">
        <v>1</v>
      </c>
      <c r="AB83" s="158">
        <v>1</v>
      </c>
      <c r="AC83" s="158">
        <v>1</v>
      </c>
      <c r="AD83" s="158">
        <v>1</v>
      </c>
      <c r="AE83" s="160">
        <v>1</v>
      </c>
      <c r="AF83" s="170">
        <v>1</v>
      </c>
      <c r="AG83" s="158">
        <v>1</v>
      </c>
      <c r="AH83" s="158">
        <v>1</v>
      </c>
      <c r="AI83" s="158">
        <v>1</v>
      </c>
      <c r="AJ83" s="158">
        <v>1</v>
      </c>
      <c r="AK83" s="73">
        <f t="shared" si="7"/>
        <v>107.71010023130299</v>
      </c>
      <c r="AL83" s="162"/>
      <c r="AM83" s="163"/>
      <c r="AN83" s="164"/>
      <c r="AO83" s="170" t="s">
        <v>49</v>
      </c>
      <c r="AP83" s="70">
        <f t="shared" si="8"/>
        <v>0.49</v>
      </c>
      <c r="AQ83" s="72">
        <f>IF(head!F$82="S235",235,IF(head!F$82="S275",275,IF(head!F$82="S355",355,IF(head!F$82="S420",420,460))))^0.5*head!$G$70*1000/(S83*3.1416*210000^0.5)</f>
        <v>2.8455854669175062</v>
      </c>
      <c r="AR83" s="72">
        <f t="shared" si="9"/>
        <v>5.19684676416085</v>
      </c>
      <c r="AS83" s="72">
        <f t="shared" si="10"/>
        <v>0.10476257357387388</v>
      </c>
      <c r="AT83" s="52">
        <f>IF(head!F$82="S235",235,IF(head!F$82="S275",275,IF(head!F$82="S355",355,IF(head!F$82="S420",420,460))))*AS83*J83/1000</f>
        <v>151.5389802741947</v>
      </c>
      <c r="AU83" s="192" t="s">
        <v>47</v>
      </c>
      <c r="AV83" s="75" t="s">
        <v>47</v>
      </c>
      <c r="AW83" s="75" t="s">
        <v>47</v>
      </c>
      <c r="AX83" s="76" t="s">
        <v>47</v>
      </c>
      <c r="AY83" s="67" t="s">
        <v>47</v>
      </c>
      <c r="AZ83" s="193">
        <v>0</v>
      </c>
      <c r="BA83" s="169" t="str">
        <f t="shared" si="11"/>
        <v>CF CHS 139,7 x 12,5</v>
      </c>
      <c r="BB83" s="145"/>
    </row>
    <row r="84" spans="1:54" s="146" customFormat="1" ht="13.5" customHeight="1">
      <c r="A84" s="147" t="s">
        <v>370</v>
      </c>
      <c r="B84" s="62">
        <f t="shared" si="6"/>
        <v>179.87988524150799</v>
      </c>
      <c r="C84" s="149">
        <v>139.69999999999999</v>
      </c>
      <c r="D84" s="149"/>
      <c r="E84" s="150" t="s">
        <v>829</v>
      </c>
      <c r="F84" s="149"/>
      <c r="G84" s="149"/>
      <c r="H84" s="151">
        <v>39.211788705780997</v>
      </c>
      <c r="I84" s="152">
        <v>39.961058553662163</v>
      </c>
      <c r="J84" s="152">
        <v>4995.1323192077707</v>
      </c>
      <c r="K84" s="152">
        <v>0.43888049370649407</v>
      </c>
      <c r="L84" s="153">
        <v>10200116.391060857</v>
      </c>
      <c r="M84" s="154">
        <v>146028.86744539524</v>
      </c>
      <c r="N84" s="154">
        <v>202899.04166666663</v>
      </c>
      <c r="O84" s="155">
        <v>45.188618589197873</v>
      </c>
      <c r="P84" s="154">
        <v>10200116.391060857</v>
      </c>
      <c r="Q84" s="154">
        <v>146028.86744539524</v>
      </c>
      <c r="R84" s="154">
        <v>202899.04166666663</v>
      </c>
      <c r="S84" s="152">
        <v>45.188618589197873</v>
      </c>
      <c r="T84" s="153">
        <v>20400232.782121714</v>
      </c>
      <c r="U84" s="156"/>
      <c r="V84" s="157">
        <v>1</v>
      </c>
      <c r="W84" s="158">
        <v>1</v>
      </c>
      <c r="X84" s="158">
        <v>1</v>
      </c>
      <c r="Y84" s="158">
        <v>1</v>
      </c>
      <c r="Z84" s="158">
        <v>1</v>
      </c>
      <c r="AA84" s="159">
        <v>1</v>
      </c>
      <c r="AB84" s="158">
        <v>1</v>
      </c>
      <c r="AC84" s="158">
        <v>1</v>
      </c>
      <c r="AD84" s="158">
        <v>1</v>
      </c>
      <c r="AE84" s="160">
        <v>1</v>
      </c>
      <c r="AF84" s="170">
        <v>1</v>
      </c>
      <c r="AG84" s="158">
        <v>1</v>
      </c>
      <c r="AH84" s="158">
        <v>1</v>
      </c>
      <c r="AI84" s="158">
        <v>1</v>
      </c>
      <c r="AJ84" s="158">
        <v>1</v>
      </c>
      <c r="AK84" s="73">
        <f t="shared" si="7"/>
        <v>87.861635220125791</v>
      </c>
      <c r="AL84" s="162"/>
      <c r="AM84" s="163"/>
      <c r="AN84" s="164"/>
      <c r="AO84" s="170" t="s">
        <v>49</v>
      </c>
      <c r="AP84" s="70">
        <f t="shared" si="8"/>
        <v>0.49</v>
      </c>
      <c r="AQ84" s="72">
        <f>IF(head!F$82="S235",235,IF(head!F$82="S275",275,IF(head!F$82="S355",355,IF(head!F$82="S420",420,460))))^0.5*head!$G$70*1000/(S84*3.1416*210000^0.5)</f>
        <v>2.8961735018115204</v>
      </c>
      <c r="AR84" s="72">
        <f t="shared" si="9"/>
        <v>5.3544729842414256</v>
      </c>
      <c r="AS84" s="72">
        <f t="shared" si="10"/>
        <v>0.10143953547343031</v>
      </c>
      <c r="AT84" s="52">
        <f>IF(head!F$82="S235",235,IF(head!F$82="S275",275,IF(head!F$82="S355",355,IF(head!F$82="S420",420,460))))*AS84*J84/1000</f>
        <v>179.87988524150799</v>
      </c>
      <c r="AU84" s="192" t="s">
        <v>47</v>
      </c>
      <c r="AV84" s="75" t="s">
        <v>47</v>
      </c>
      <c r="AW84" s="75" t="s">
        <v>47</v>
      </c>
      <c r="AX84" s="76" t="s">
        <v>47</v>
      </c>
      <c r="AY84" s="67" t="s">
        <v>47</v>
      </c>
      <c r="AZ84" s="193">
        <v>0</v>
      </c>
      <c r="BA84" s="169" t="str">
        <f t="shared" si="11"/>
        <v>CF CHS 139,7 x 14,2</v>
      </c>
      <c r="BB84" s="145"/>
    </row>
    <row r="85" spans="1:54" s="146" customFormat="1" ht="13.5" customHeight="1">
      <c r="A85" s="147" t="s">
        <v>371</v>
      </c>
      <c r="B85" s="62">
        <f t="shared" si="6"/>
        <v>197.26411247067384</v>
      </c>
      <c r="C85" s="149">
        <v>139.69999999999999</v>
      </c>
      <c r="D85" s="149"/>
      <c r="E85" s="150" t="s">
        <v>830</v>
      </c>
      <c r="F85" s="149"/>
      <c r="G85" s="149"/>
      <c r="H85" s="151">
        <v>43.949263303504601</v>
      </c>
      <c r="I85" s="152">
        <v>44.789058143698959</v>
      </c>
      <c r="J85" s="152">
        <v>5598.63226796237</v>
      </c>
      <c r="K85" s="152">
        <v>0.43888049370649407</v>
      </c>
      <c r="L85" s="153">
        <v>11163595.761123279</v>
      </c>
      <c r="M85" s="154">
        <v>159822.41605044063</v>
      </c>
      <c r="N85" s="154">
        <v>224607.97933333326</v>
      </c>
      <c r="O85" s="155">
        <v>44.654073162478689</v>
      </c>
      <c r="P85" s="154">
        <v>11163595.761123279</v>
      </c>
      <c r="Q85" s="154">
        <v>159822.41605044063</v>
      </c>
      <c r="R85" s="154">
        <v>224607.97933333326</v>
      </c>
      <c r="S85" s="152">
        <v>44.654073162478689</v>
      </c>
      <c r="T85" s="153">
        <v>22327191.522246558</v>
      </c>
      <c r="U85" s="156"/>
      <c r="V85" s="157">
        <v>1</v>
      </c>
      <c r="W85" s="158">
        <v>1</v>
      </c>
      <c r="X85" s="158">
        <v>1</v>
      </c>
      <c r="Y85" s="158">
        <v>1</v>
      </c>
      <c r="Z85" s="158">
        <v>1</v>
      </c>
      <c r="AA85" s="159">
        <v>1</v>
      </c>
      <c r="AB85" s="158">
        <v>1</v>
      </c>
      <c r="AC85" s="158">
        <v>1</v>
      </c>
      <c r="AD85" s="158">
        <v>1</v>
      </c>
      <c r="AE85" s="160">
        <v>1</v>
      </c>
      <c r="AF85" s="170">
        <v>1</v>
      </c>
      <c r="AG85" s="158">
        <v>1</v>
      </c>
      <c r="AH85" s="158">
        <v>1</v>
      </c>
      <c r="AI85" s="158">
        <v>1</v>
      </c>
      <c r="AJ85" s="158">
        <v>1</v>
      </c>
      <c r="AK85" s="73">
        <f t="shared" si="7"/>
        <v>78.390662701307448</v>
      </c>
      <c r="AL85" s="162"/>
      <c r="AM85" s="163"/>
      <c r="AN85" s="164"/>
      <c r="AO85" s="170" t="s">
        <v>49</v>
      </c>
      <c r="AP85" s="70">
        <f t="shared" si="8"/>
        <v>0.49</v>
      </c>
      <c r="AQ85" s="72">
        <f>IF(head!F$82="S235",235,IF(head!F$82="S275",275,IF(head!F$82="S355",355,IF(head!F$82="S420",420,460))))^0.5*head!$G$70*1000/(S85*3.1416*210000^0.5)</f>
        <v>2.9308430446043037</v>
      </c>
      <c r="AR85" s="72">
        <f t="shared" si="9"/>
        <v>5.4639770219807664</v>
      </c>
      <c r="AS85" s="72">
        <f t="shared" si="10"/>
        <v>9.925166177375272E-2</v>
      </c>
      <c r="AT85" s="52">
        <f>IF(head!F$82="S235",235,IF(head!F$82="S275",275,IF(head!F$82="S355",355,IF(head!F$82="S420",420,460))))*AS85*J85/1000</f>
        <v>197.26411247067384</v>
      </c>
      <c r="AU85" s="192" t="s">
        <v>47</v>
      </c>
      <c r="AV85" s="75" t="s">
        <v>47</v>
      </c>
      <c r="AW85" s="75" t="s">
        <v>47</v>
      </c>
      <c r="AX85" s="76" t="s">
        <v>47</v>
      </c>
      <c r="AY85" s="67" t="s">
        <v>47</v>
      </c>
      <c r="AZ85" s="193">
        <v>0</v>
      </c>
      <c r="BA85" s="169" t="str">
        <f t="shared" si="11"/>
        <v>CF CHS 139,7 x 16</v>
      </c>
      <c r="BB85" s="145"/>
    </row>
    <row r="86" spans="1:54" s="146" customFormat="1" ht="13.5" customHeight="1">
      <c r="A86" s="147" t="s">
        <v>372</v>
      </c>
      <c r="B86" s="62">
        <f t="shared" si="6"/>
        <v>214.10955084787196</v>
      </c>
      <c r="C86" s="149">
        <v>139.69999999999999</v>
      </c>
      <c r="D86" s="149"/>
      <c r="E86" s="150" t="s">
        <v>831</v>
      </c>
      <c r="F86" s="149"/>
      <c r="G86" s="149"/>
      <c r="H86" s="151">
        <v>48.8100454128816</v>
      </c>
      <c r="I86" s="152">
        <v>49.74272143987934</v>
      </c>
      <c r="J86" s="152">
        <v>6217.840179984918</v>
      </c>
      <c r="K86" s="152">
        <v>0.43888049370649407</v>
      </c>
      <c r="L86" s="153">
        <v>12091903.748718692</v>
      </c>
      <c r="M86" s="154">
        <v>173112.43734744011</v>
      </c>
      <c r="N86" s="154">
        <v>246192.37333333326</v>
      </c>
      <c r="O86" s="155">
        <v>44.098880371274731</v>
      </c>
      <c r="P86" s="154">
        <v>12091903.748718692</v>
      </c>
      <c r="Q86" s="154">
        <v>173112.43734744011</v>
      </c>
      <c r="R86" s="154">
        <v>246192.37333333326</v>
      </c>
      <c r="S86" s="152">
        <v>44.098880371274731</v>
      </c>
      <c r="T86" s="153">
        <v>24183807.497437384</v>
      </c>
      <c r="U86" s="156"/>
      <c r="V86" s="157">
        <v>1</v>
      </c>
      <c r="W86" s="158">
        <v>1</v>
      </c>
      <c r="X86" s="158">
        <v>1</v>
      </c>
      <c r="Y86" s="158">
        <v>1</v>
      </c>
      <c r="Z86" s="158">
        <v>1</v>
      </c>
      <c r="AA86" s="159">
        <v>1</v>
      </c>
      <c r="AB86" s="158">
        <v>1</v>
      </c>
      <c r="AC86" s="158">
        <v>1</v>
      </c>
      <c r="AD86" s="158">
        <v>1</v>
      </c>
      <c r="AE86" s="160">
        <v>1</v>
      </c>
      <c r="AF86" s="170">
        <v>1</v>
      </c>
      <c r="AG86" s="158">
        <v>1</v>
      </c>
      <c r="AH86" s="158">
        <v>1</v>
      </c>
      <c r="AI86" s="158">
        <v>1</v>
      </c>
      <c r="AJ86" s="158">
        <v>1</v>
      </c>
      <c r="AK86" s="73">
        <f t="shared" si="7"/>
        <v>70.584074373484228</v>
      </c>
      <c r="AL86" s="162"/>
      <c r="AM86" s="163"/>
      <c r="AN86" s="164"/>
      <c r="AO86" s="170" t="s">
        <v>49</v>
      </c>
      <c r="AP86" s="70">
        <f t="shared" si="8"/>
        <v>0.49</v>
      </c>
      <c r="AQ86" s="72">
        <f>IF(head!F$82="S235",235,IF(head!F$82="S275",275,IF(head!F$82="S355",355,IF(head!F$82="S420",420,460))))^0.5*head!$G$70*1000/(S86*3.1416*210000^0.5)</f>
        <v>2.9677415535191574</v>
      </c>
      <c r="AR86" s="72">
        <f t="shared" si="9"/>
        <v>5.581841644854344</v>
      </c>
      <c r="AS86" s="72">
        <f t="shared" si="10"/>
        <v>9.6999195522516818E-2</v>
      </c>
      <c r="AT86" s="52">
        <f>IF(head!F$82="S235",235,IF(head!F$82="S275",275,IF(head!F$82="S355",355,IF(head!F$82="S420",420,460))))*AS86*J86/1000</f>
        <v>214.10955084787196</v>
      </c>
      <c r="AU86" s="192" t="s">
        <v>47</v>
      </c>
      <c r="AV86" s="75" t="s">
        <v>47</v>
      </c>
      <c r="AW86" s="75" t="s">
        <v>47</v>
      </c>
      <c r="AX86" s="76" t="s">
        <v>47</v>
      </c>
      <c r="AY86" s="67" t="s">
        <v>47</v>
      </c>
      <c r="AZ86" s="193">
        <v>0</v>
      </c>
      <c r="BA86" s="169" t="str">
        <f t="shared" si="11"/>
        <v>CF CHS 139,7 x 20</v>
      </c>
      <c r="BB86" s="145"/>
    </row>
    <row r="87" spans="1:54" s="146" customFormat="1" ht="13.5" customHeight="1">
      <c r="A87" s="147" t="s">
        <v>373</v>
      </c>
      <c r="B87" s="62">
        <f t="shared" si="6"/>
        <v>246.25758778679094</v>
      </c>
      <c r="C87" s="149">
        <v>139.69999999999999</v>
      </c>
      <c r="D87" s="149"/>
      <c r="E87" s="150" t="s">
        <v>833</v>
      </c>
      <c r="F87" s="149"/>
      <c r="G87" s="149"/>
      <c r="H87" s="151">
        <v>59.039636579647613</v>
      </c>
      <c r="I87" s="152">
        <v>60.167782501551706</v>
      </c>
      <c r="J87" s="152">
        <v>7520.9728126939635</v>
      </c>
      <c r="K87" s="152">
        <v>0.43888049370649407</v>
      </c>
      <c r="L87" s="153">
        <v>13846195.559113726</v>
      </c>
      <c r="M87" s="154">
        <v>198227.56705960954</v>
      </c>
      <c r="N87" s="154">
        <v>289228.46666666656</v>
      </c>
      <c r="O87" s="155">
        <v>42.907007003518665</v>
      </c>
      <c r="P87" s="154">
        <v>13846195.559113726</v>
      </c>
      <c r="Q87" s="154">
        <v>198227.56705960954</v>
      </c>
      <c r="R87" s="154">
        <v>289228.46666666656</v>
      </c>
      <c r="S87" s="152">
        <v>42.907007003518665</v>
      </c>
      <c r="T87" s="153">
        <v>27692391.118227452</v>
      </c>
      <c r="U87" s="156"/>
      <c r="V87" s="157">
        <v>1</v>
      </c>
      <c r="W87" s="158">
        <v>1</v>
      </c>
      <c r="X87" s="158">
        <v>1</v>
      </c>
      <c r="Y87" s="158">
        <v>1</v>
      </c>
      <c r="Z87" s="158">
        <v>1</v>
      </c>
      <c r="AA87" s="159">
        <v>1</v>
      </c>
      <c r="AB87" s="158">
        <v>1</v>
      </c>
      <c r="AC87" s="158">
        <v>1</v>
      </c>
      <c r="AD87" s="158">
        <v>1</v>
      </c>
      <c r="AE87" s="160">
        <v>1</v>
      </c>
      <c r="AF87" s="170">
        <v>1</v>
      </c>
      <c r="AG87" s="158">
        <v>1</v>
      </c>
      <c r="AH87" s="158">
        <v>1</v>
      </c>
      <c r="AI87" s="158">
        <v>1</v>
      </c>
      <c r="AJ87" s="158">
        <v>1</v>
      </c>
      <c r="AK87" s="73">
        <f t="shared" si="7"/>
        <v>58.354218880534674</v>
      </c>
      <c r="AL87" s="162"/>
      <c r="AM87" s="163"/>
      <c r="AN87" s="164"/>
      <c r="AO87" s="170" t="s">
        <v>49</v>
      </c>
      <c r="AP87" s="70">
        <f t="shared" si="8"/>
        <v>0.49</v>
      </c>
      <c r="AQ87" s="72">
        <f>IF(head!F$82="S235",235,IF(head!F$82="S275",275,IF(head!F$82="S355",355,IF(head!F$82="S420",420,460))))^0.5*head!$G$70*1000/(S87*3.1416*210000^0.5)</f>
        <v>3.0501796531920711</v>
      </c>
      <c r="AR87" s="72">
        <f t="shared" si="9"/>
        <v>5.850091973405509</v>
      </c>
      <c r="AS87" s="72">
        <f t="shared" si="10"/>
        <v>9.2233194183002437E-2</v>
      </c>
      <c r="AT87" s="52">
        <f>IF(head!F$82="S235",235,IF(head!F$82="S275",275,IF(head!F$82="S355",355,IF(head!F$82="S420",420,460))))*AS87*J87/1000</f>
        <v>246.25758778679094</v>
      </c>
      <c r="AU87" s="192" t="s">
        <v>47</v>
      </c>
      <c r="AV87" s="75" t="s">
        <v>47</v>
      </c>
      <c r="AW87" s="75" t="s">
        <v>47</v>
      </c>
      <c r="AX87" s="76" t="s">
        <v>47</v>
      </c>
      <c r="AY87" s="67" t="s">
        <v>47</v>
      </c>
      <c r="AZ87" s="193">
        <v>0</v>
      </c>
      <c r="BA87" s="169" t="str">
        <f t="shared" si="11"/>
        <v>CF CHS 152,4 x 5,6</v>
      </c>
      <c r="BB87" s="145"/>
    </row>
    <row r="88" spans="1:54" s="146" customFormat="1" ht="13.5" customHeight="1">
      <c r="A88" s="147" t="s">
        <v>374</v>
      </c>
      <c r="B88" s="62">
        <f t="shared" si="6"/>
        <v>119.74538042938721</v>
      </c>
      <c r="C88" s="149">
        <v>152.4</v>
      </c>
      <c r="D88" s="149"/>
      <c r="E88" s="150" t="s">
        <v>823</v>
      </c>
      <c r="F88" s="149"/>
      <c r="G88" s="149"/>
      <c r="H88" s="151">
        <v>20.273727836005289</v>
      </c>
      <c r="I88" s="152">
        <v>20.661123909304752</v>
      </c>
      <c r="J88" s="152">
        <v>2582.6404886630939</v>
      </c>
      <c r="K88" s="152">
        <v>0.47877872040708452</v>
      </c>
      <c r="L88" s="153">
        <v>6967189.2462664312</v>
      </c>
      <c r="M88" s="154">
        <v>91432.929741029264</v>
      </c>
      <c r="N88" s="154">
        <v>120739.88266666653</v>
      </c>
      <c r="O88" s="155">
        <v>51.939387751493577</v>
      </c>
      <c r="P88" s="154">
        <v>6967189.2462664312</v>
      </c>
      <c r="Q88" s="154">
        <v>91432.929741029264</v>
      </c>
      <c r="R88" s="154">
        <v>120739.88266666653</v>
      </c>
      <c r="S88" s="152">
        <v>51.939387751493577</v>
      </c>
      <c r="T88" s="153">
        <v>13934378.492532862</v>
      </c>
      <c r="U88" s="156"/>
      <c r="V88" s="157">
        <v>1</v>
      </c>
      <c r="W88" s="158">
        <v>1</v>
      </c>
      <c r="X88" s="158">
        <v>1</v>
      </c>
      <c r="Y88" s="158">
        <v>1</v>
      </c>
      <c r="Z88" s="158">
        <v>2</v>
      </c>
      <c r="AA88" s="159">
        <v>1</v>
      </c>
      <c r="AB88" s="158">
        <v>1</v>
      </c>
      <c r="AC88" s="158">
        <v>2</v>
      </c>
      <c r="AD88" s="158">
        <v>2</v>
      </c>
      <c r="AE88" s="160">
        <v>3</v>
      </c>
      <c r="AF88" s="170">
        <v>1</v>
      </c>
      <c r="AG88" s="158">
        <v>1</v>
      </c>
      <c r="AH88" s="158">
        <v>2</v>
      </c>
      <c r="AI88" s="158">
        <v>2</v>
      </c>
      <c r="AJ88" s="158">
        <v>3</v>
      </c>
      <c r="AK88" s="73">
        <f t="shared" si="7"/>
        <v>185.38341767224625</v>
      </c>
      <c r="AL88" s="162"/>
      <c r="AM88" s="163"/>
      <c r="AN88" s="164"/>
      <c r="AO88" s="170" t="s">
        <v>49</v>
      </c>
      <c r="AP88" s="70">
        <f t="shared" si="8"/>
        <v>0.49</v>
      </c>
      <c r="AQ88" s="72">
        <f>IF(head!F$82="S235",235,IF(head!F$82="S275",275,IF(head!F$82="S355",355,IF(head!F$82="S420",420,460))))^0.5*head!$G$70*1000/(S88*3.1416*210000^0.5)</f>
        <v>2.5197462928842267</v>
      </c>
      <c r="AR88" s="72">
        <f t="shared" si="9"/>
        <v>4.2428985320085371</v>
      </c>
      <c r="AS88" s="72">
        <f t="shared" si="10"/>
        <v>0.1306070017362794</v>
      </c>
      <c r="AT88" s="52">
        <f>IF(head!F$82="S235",235,IF(head!F$82="S275",275,IF(head!F$82="S355",355,IF(head!F$82="S420",420,460))))*AS88*J88/1000</f>
        <v>119.74538042938721</v>
      </c>
      <c r="AU88" s="192" t="s">
        <v>47</v>
      </c>
      <c r="AV88" s="75" t="s">
        <v>47</v>
      </c>
      <c r="AW88" s="75" t="s">
        <v>47</v>
      </c>
      <c r="AX88" s="76" t="s">
        <v>47</v>
      </c>
      <c r="AY88" s="67" t="s">
        <v>47</v>
      </c>
      <c r="AZ88" s="193">
        <v>0</v>
      </c>
      <c r="BA88" s="169" t="str">
        <f t="shared" si="11"/>
        <v>CF CHS 152,4 x 6,3</v>
      </c>
      <c r="BB88" s="145"/>
    </row>
    <row r="89" spans="1:54" s="146" customFormat="1" ht="13.5" customHeight="1">
      <c r="A89" s="147" t="s">
        <v>375</v>
      </c>
      <c r="B89" s="62">
        <f t="shared" si="6"/>
        <v>132.97185836168185</v>
      </c>
      <c r="C89" s="149">
        <v>152.4</v>
      </c>
      <c r="D89" s="149"/>
      <c r="E89" s="150">
        <v>6.3</v>
      </c>
      <c r="F89" s="149"/>
      <c r="G89" s="149"/>
      <c r="H89" s="151">
        <v>22.699186590227661</v>
      </c>
      <c r="I89" s="152">
        <v>23.132929009149208</v>
      </c>
      <c r="J89" s="152">
        <v>2891.6161261436514</v>
      </c>
      <c r="K89" s="152">
        <v>0.47877872040708452</v>
      </c>
      <c r="L89" s="153">
        <v>7729615.2119961735</v>
      </c>
      <c r="M89" s="154">
        <v>101438.51984246947</v>
      </c>
      <c r="N89" s="154">
        <v>134558.17199999996</v>
      </c>
      <c r="O89" s="155">
        <v>51.702151792744573</v>
      </c>
      <c r="P89" s="154">
        <v>7729615.2119961735</v>
      </c>
      <c r="Q89" s="154">
        <v>101438.51984246947</v>
      </c>
      <c r="R89" s="154">
        <v>134558.17199999996</v>
      </c>
      <c r="S89" s="152">
        <v>51.702151792744573</v>
      </c>
      <c r="T89" s="153">
        <v>15459230.423992347</v>
      </c>
      <c r="U89" s="156"/>
      <c r="V89" s="157">
        <v>1</v>
      </c>
      <c r="W89" s="158">
        <v>1</v>
      </c>
      <c r="X89" s="158">
        <v>1</v>
      </c>
      <c r="Y89" s="158">
        <v>1</v>
      </c>
      <c r="Z89" s="158">
        <v>1</v>
      </c>
      <c r="AA89" s="159">
        <v>1</v>
      </c>
      <c r="AB89" s="158">
        <v>1</v>
      </c>
      <c r="AC89" s="158">
        <v>2</v>
      </c>
      <c r="AD89" s="158">
        <v>2</v>
      </c>
      <c r="AE89" s="160">
        <v>2</v>
      </c>
      <c r="AF89" s="170">
        <v>1</v>
      </c>
      <c r="AG89" s="158">
        <v>1</v>
      </c>
      <c r="AH89" s="158">
        <v>2</v>
      </c>
      <c r="AI89" s="158">
        <v>2</v>
      </c>
      <c r="AJ89" s="158">
        <v>2</v>
      </c>
      <c r="AK89" s="73">
        <f t="shared" si="7"/>
        <v>165.57478569798911</v>
      </c>
      <c r="AL89" s="162"/>
      <c r="AM89" s="163"/>
      <c r="AN89" s="164"/>
      <c r="AO89" s="170" t="s">
        <v>49</v>
      </c>
      <c r="AP89" s="70">
        <f t="shared" si="8"/>
        <v>0.49</v>
      </c>
      <c r="AQ89" s="72">
        <f>IF(head!F$82="S235",235,IF(head!F$82="S275",275,IF(head!F$82="S355",355,IF(head!F$82="S420",420,460))))^0.5*head!$G$70*1000/(S89*3.1416*210000^0.5)</f>
        <v>2.5313081797084522</v>
      </c>
      <c r="AR89" s="72">
        <f t="shared" si="9"/>
        <v>4.2749310543580297</v>
      </c>
      <c r="AS89" s="72">
        <f t="shared" si="10"/>
        <v>0.12953607905170506</v>
      </c>
      <c r="AT89" s="52">
        <f>IF(head!F$82="S235",235,IF(head!F$82="S275",275,IF(head!F$82="S355",355,IF(head!F$82="S420",420,460))))*AS89*J89/1000</f>
        <v>132.97185836168185</v>
      </c>
      <c r="AU89" s="192" t="s">
        <v>47</v>
      </c>
      <c r="AV89" s="75" t="s">
        <v>47</v>
      </c>
      <c r="AW89" s="75" t="s">
        <v>47</v>
      </c>
      <c r="AX89" s="76" t="s">
        <v>47</v>
      </c>
      <c r="AY89" s="67" t="s">
        <v>47</v>
      </c>
      <c r="AZ89" s="193">
        <v>0</v>
      </c>
      <c r="BA89" s="169" t="str">
        <f t="shared" si="11"/>
        <v>CF CHS 152,4 x 8</v>
      </c>
      <c r="BB89" s="145"/>
    </row>
    <row r="90" spans="1:54" s="146" customFormat="1" ht="13.5" customHeight="1">
      <c r="A90" s="147" t="s">
        <v>376</v>
      </c>
      <c r="B90" s="62">
        <f t="shared" si="6"/>
        <v>163.58586563660589</v>
      </c>
      <c r="C90" s="149">
        <v>152.4</v>
      </c>
      <c r="D90" s="149"/>
      <c r="E90" s="150">
        <v>8</v>
      </c>
      <c r="F90" s="149"/>
      <c r="G90" s="149"/>
      <c r="H90" s="151">
        <v>28.48896749240139</v>
      </c>
      <c r="I90" s="152">
        <v>29.033342667415429</v>
      </c>
      <c r="J90" s="152">
        <v>3629.1678334269286</v>
      </c>
      <c r="K90" s="152">
        <v>0.47877872040708452</v>
      </c>
      <c r="L90" s="153">
        <v>9488168.9670680314</v>
      </c>
      <c r="M90" s="154">
        <v>124516.65311112902</v>
      </c>
      <c r="N90" s="154">
        <v>166981.54666666663</v>
      </c>
      <c r="O90" s="155">
        <v>51.131399354995168</v>
      </c>
      <c r="P90" s="154">
        <v>9488168.9670680314</v>
      </c>
      <c r="Q90" s="154">
        <v>124516.65311112902</v>
      </c>
      <c r="R90" s="154">
        <v>166981.54666666663</v>
      </c>
      <c r="S90" s="152">
        <v>51.131399354995168</v>
      </c>
      <c r="T90" s="153">
        <v>18976337.934136063</v>
      </c>
      <c r="U90" s="156"/>
      <c r="V90" s="157">
        <v>1</v>
      </c>
      <c r="W90" s="158">
        <v>1</v>
      </c>
      <c r="X90" s="158">
        <v>1</v>
      </c>
      <c r="Y90" s="158">
        <v>1</v>
      </c>
      <c r="Z90" s="158">
        <v>1</v>
      </c>
      <c r="AA90" s="159">
        <v>1</v>
      </c>
      <c r="AB90" s="158">
        <v>1</v>
      </c>
      <c r="AC90" s="158">
        <v>1</v>
      </c>
      <c r="AD90" s="158">
        <v>1</v>
      </c>
      <c r="AE90" s="160">
        <v>2</v>
      </c>
      <c r="AF90" s="170">
        <v>1</v>
      </c>
      <c r="AG90" s="158">
        <v>1</v>
      </c>
      <c r="AH90" s="158">
        <v>1</v>
      </c>
      <c r="AI90" s="158">
        <v>1</v>
      </c>
      <c r="AJ90" s="158">
        <v>2</v>
      </c>
      <c r="AK90" s="73">
        <f t="shared" si="7"/>
        <v>131.92520775623271</v>
      </c>
      <c r="AL90" s="162"/>
      <c r="AM90" s="163"/>
      <c r="AN90" s="164"/>
      <c r="AO90" s="170" t="s">
        <v>49</v>
      </c>
      <c r="AP90" s="70">
        <f t="shared" si="8"/>
        <v>0.49</v>
      </c>
      <c r="AQ90" s="72">
        <f>IF(head!F$82="S235",235,IF(head!F$82="S275",275,IF(head!F$82="S355",355,IF(head!F$82="S420",420,460))))^0.5*head!$G$70*1000/(S90*3.1416*210000^0.5)</f>
        <v>2.5595638177799427</v>
      </c>
      <c r="AR90" s="72">
        <f t="shared" si="9"/>
        <v>4.3537766040002035</v>
      </c>
      <c r="AS90" s="72">
        <f t="shared" si="10"/>
        <v>0.12697270461566293</v>
      </c>
      <c r="AT90" s="52">
        <f>IF(head!F$82="S235",235,IF(head!F$82="S275",275,IF(head!F$82="S355",355,IF(head!F$82="S420",420,460))))*AS90*J90/1000</f>
        <v>163.58586563660589</v>
      </c>
      <c r="AU90" s="192" t="s">
        <v>47</v>
      </c>
      <c r="AV90" s="75" t="s">
        <v>47</v>
      </c>
      <c r="AW90" s="75" t="s">
        <v>47</v>
      </c>
      <c r="AX90" s="76" t="s">
        <v>47</v>
      </c>
      <c r="AY90" s="67" t="s">
        <v>47</v>
      </c>
      <c r="AZ90" s="193">
        <v>0</v>
      </c>
      <c r="BA90" s="169" t="str">
        <f t="shared" si="11"/>
        <v>CF CHS 152,4 x 10</v>
      </c>
      <c r="BB90" s="145"/>
    </row>
    <row r="91" spans="1:54" s="146" customFormat="1" ht="13.5" customHeight="1">
      <c r="A91" s="147" t="s">
        <v>377</v>
      </c>
      <c r="B91" s="62">
        <f t="shared" si="6"/>
        <v>196.9697408221987</v>
      </c>
      <c r="C91" s="149">
        <v>152.4</v>
      </c>
      <c r="D91" s="149"/>
      <c r="E91" s="150" t="s">
        <v>828</v>
      </c>
      <c r="F91" s="149"/>
      <c r="G91" s="149"/>
      <c r="H91" s="151">
        <v>35.117979318888139</v>
      </c>
      <c r="I91" s="152">
        <v>35.789023509694921</v>
      </c>
      <c r="J91" s="152">
        <v>4473.6279387118657</v>
      </c>
      <c r="K91" s="152">
        <v>0.47877872040708452</v>
      </c>
      <c r="L91" s="153">
        <v>11395314.558045642</v>
      </c>
      <c r="M91" s="154">
        <v>149544.81047303995</v>
      </c>
      <c r="N91" s="154">
        <v>203110.93333333335</v>
      </c>
      <c r="O91" s="155">
        <v>50.469991083811387</v>
      </c>
      <c r="P91" s="154">
        <v>11395314.558045642</v>
      </c>
      <c r="Q91" s="154">
        <v>149544.81047303995</v>
      </c>
      <c r="R91" s="154">
        <v>203110.93333333335</v>
      </c>
      <c r="S91" s="152">
        <v>50.469991083811387</v>
      </c>
      <c r="T91" s="153">
        <v>22790629.116091285</v>
      </c>
      <c r="U91" s="156"/>
      <c r="V91" s="157">
        <v>1</v>
      </c>
      <c r="W91" s="158">
        <v>1</v>
      </c>
      <c r="X91" s="158">
        <v>1</v>
      </c>
      <c r="Y91" s="158">
        <v>1</v>
      </c>
      <c r="Z91" s="158">
        <v>1</v>
      </c>
      <c r="AA91" s="159">
        <v>1</v>
      </c>
      <c r="AB91" s="158">
        <v>1</v>
      </c>
      <c r="AC91" s="158">
        <v>1</v>
      </c>
      <c r="AD91" s="158">
        <v>1</v>
      </c>
      <c r="AE91" s="160">
        <v>1</v>
      </c>
      <c r="AF91" s="170">
        <v>1</v>
      </c>
      <c r="AG91" s="158">
        <v>1</v>
      </c>
      <c r="AH91" s="158">
        <v>1</v>
      </c>
      <c r="AI91" s="158">
        <v>1</v>
      </c>
      <c r="AJ91" s="158">
        <v>1</v>
      </c>
      <c r="AK91" s="73">
        <f t="shared" si="7"/>
        <v>107.02247191011237</v>
      </c>
      <c r="AL91" s="162"/>
      <c r="AM91" s="163"/>
      <c r="AN91" s="164"/>
      <c r="AO91" s="170" t="s">
        <v>49</v>
      </c>
      <c r="AP91" s="70">
        <f t="shared" si="8"/>
        <v>0.49</v>
      </c>
      <c r="AQ91" s="72">
        <f>IF(head!F$82="S235",235,IF(head!F$82="S275",275,IF(head!F$82="S355",355,IF(head!F$82="S420",420,460))))^0.5*head!$G$70*1000/(S91*3.1416*210000^0.5)</f>
        <v>2.5931068528260779</v>
      </c>
      <c r="AR91" s="72">
        <f t="shared" si="9"/>
        <v>4.4484127540291727</v>
      </c>
      <c r="AS91" s="72">
        <f t="shared" si="10"/>
        <v>0.12402558906228203</v>
      </c>
      <c r="AT91" s="52">
        <f>IF(head!F$82="S235",235,IF(head!F$82="S275",275,IF(head!F$82="S355",355,IF(head!F$82="S420",420,460))))*AS91*J91/1000</f>
        <v>196.9697408221987</v>
      </c>
      <c r="AU91" s="192" t="s">
        <v>47</v>
      </c>
      <c r="AV91" s="75" t="s">
        <v>47</v>
      </c>
      <c r="AW91" s="75" t="s">
        <v>47</v>
      </c>
      <c r="AX91" s="76" t="s">
        <v>47</v>
      </c>
      <c r="AY91" s="67" t="s">
        <v>47</v>
      </c>
      <c r="AZ91" s="193">
        <v>0</v>
      </c>
      <c r="BA91" s="169" t="str">
        <f t="shared" si="11"/>
        <v>CF CHS 152,4 x 12,5</v>
      </c>
      <c r="BB91" s="145"/>
    </row>
    <row r="92" spans="1:54" s="146" customFormat="1" ht="13.5" customHeight="1">
      <c r="A92" s="147" t="s">
        <v>378</v>
      </c>
      <c r="B92" s="62">
        <f t="shared" si="6"/>
        <v>234.91126439153027</v>
      </c>
      <c r="C92" s="149">
        <v>152.4</v>
      </c>
      <c r="D92" s="149"/>
      <c r="E92" s="150" t="s">
        <v>829</v>
      </c>
      <c r="F92" s="149"/>
      <c r="G92" s="149"/>
      <c r="H92" s="151">
        <v>43.126802200776424</v>
      </c>
      <c r="I92" s="152">
        <v>43.950881223721197</v>
      </c>
      <c r="J92" s="152">
        <v>5493.8601529651505</v>
      </c>
      <c r="K92" s="152">
        <v>0.47877872040708452</v>
      </c>
      <c r="L92" s="153">
        <v>13548037.687667038</v>
      </c>
      <c r="M92" s="154">
        <v>177795.77017935741</v>
      </c>
      <c r="N92" s="154">
        <v>245301.16666666672</v>
      </c>
      <c r="O92" s="155">
        <v>49.659163303462947</v>
      </c>
      <c r="P92" s="154">
        <v>13548037.687667038</v>
      </c>
      <c r="Q92" s="154">
        <v>177795.77017935741</v>
      </c>
      <c r="R92" s="154">
        <v>245301.16666666672</v>
      </c>
      <c r="S92" s="152">
        <v>49.659163303462947</v>
      </c>
      <c r="T92" s="153">
        <v>27096075.375334077</v>
      </c>
      <c r="U92" s="156"/>
      <c r="V92" s="157">
        <v>1</v>
      </c>
      <c r="W92" s="158">
        <v>1</v>
      </c>
      <c r="X92" s="158">
        <v>1</v>
      </c>
      <c r="Y92" s="158">
        <v>1</v>
      </c>
      <c r="Z92" s="158">
        <v>1</v>
      </c>
      <c r="AA92" s="159">
        <v>1</v>
      </c>
      <c r="AB92" s="158">
        <v>1</v>
      </c>
      <c r="AC92" s="158">
        <v>1</v>
      </c>
      <c r="AD92" s="158">
        <v>1</v>
      </c>
      <c r="AE92" s="160">
        <v>1</v>
      </c>
      <c r="AF92" s="170">
        <v>1</v>
      </c>
      <c r="AG92" s="158">
        <v>1</v>
      </c>
      <c r="AH92" s="158">
        <v>1</v>
      </c>
      <c r="AI92" s="158">
        <v>1</v>
      </c>
      <c r="AJ92" s="158">
        <v>1</v>
      </c>
      <c r="AK92" s="73">
        <f t="shared" si="7"/>
        <v>87.147962830593286</v>
      </c>
      <c r="AL92" s="162"/>
      <c r="AM92" s="163"/>
      <c r="AN92" s="164"/>
      <c r="AO92" s="170" t="s">
        <v>49</v>
      </c>
      <c r="AP92" s="70">
        <f t="shared" si="8"/>
        <v>0.49</v>
      </c>
      <c r="AQ92" s="72">
        <f>IF(head!F$82="S235",235,IF(head!F$82="S275",275,IF(head!F$82="S355",355,IF(head!F$82="S420",420,460))))^0.5*head!$G$70*1000/(S92*3.1416*210000^0.5)</f>
        <v>2.6354467340043954</v>
      </c>
      <c r="AR92" s="72">
        <f t="shared" si="9"/>
        <v>4.5694741937182943</v>
      </c>
      <c r="AS92" s="72">
        <f t="shared" si="10"/>
        <v>0.12044752743993535</v>
      </c>
      <c r="AT92" s="52">
        <f>IF(head!F$82="S235",235,IF(head!F$82="S275",275,IF(head!F$82="S355",355,IF(head!F$82="S420",420,460))))*AS92*J92/1000</f>
        <v>234.91126439153027</v>
      </c>
      <c r="AU92" s="192" t="s">
        <v>47</v>
      </c>
      <c r="AV92" s="75" t="s">
        <v>47</v>
      </c>
      <c r="AW92" s="75" t="s">
        <v>47</v>
      </c>
      <c r="AX92" s="76" t="s">
        <v>47</v>
      </c>
      <c r="AY92" s="67" t="s">
        <v>47</v>
      </c>
      <c r="AZ92" s="193">
        <v>0</v>
      </c>
      <c r="BA92" s="169" t="str">
        <f t="shared" si="11"/>
        <v>CF CHS 152,4 x 14,2</v>
      </c>
      <c r="BB92" s="145"/>
    </row>
    <row r="93" spans="1:54" s="146" customFormat="1" ht="13.5" customHeight="1">
      <c r="A93" s="147" t="s">
        <v>379</v>
      </c>
      <c r="B93" s="62">
        <f t="shared" si="6"/>
        <v>258.44037578054139</v>
      </c>
      <c r="C93" s="149">
        <v>152.4</v>
      </c>
      <c r="D93" s="149"/>
      <c r="E93" s="150" t="s">
        <v>830</v>
      </c>
      <c r="F93" s="149"/>
      <c r="G93" s="149"/>
      <c r="H93" s="151">
        <v>48.396718633819418</v>
      </c>
      <c r="I93" s="152">
        <v>49.32149669688603</v>
      </c>
      <c r="J93" s="152">
        <v>6165.1870871107549</v>
      </c>
      <c r="K93" s="152">
        <v>0.47877872040708452</v>
      </c>
      <c r="L93" s="153">
        <v>14874192.018234281</v>
      </c>
      <c r="M93" s="154">
        <v>195199.37031803516</v>
      </c>
      <c r="N93" s="154">
        <v>272163.63733333343</v>
      </c>
      <c r="O93" s="155">
        <v>49.118326518724153</v>
      </c>
      <c r="P93" s="154">
        <v>14874192.018234281</v>
      </c>
      <c r="Q93" s="154">
        <v>195199.37031803516</v>
      </c>
      <c r="R93" s="154">
        <v>272163.63733333343</v>
      </c>
      <c r="S93" s="152">
        <v>49.118326518724153</v>
      </c>
      <c r="T93" s="153">
        <v>29748384.036468562</v>
      </c>
      <c r="U93" s="156"/>
      <c r="V93" s="157">
        <v>1</v>
      </c>
      <c r="W93" s="158">
        <v>1</v>
      </c>
      <c r="X93" s="158">
        <v>1</v>
      </c>
      <c r="Y93" s="158">
        <v>1</v>
      </c>
      <c r="Z93" s="158">
        <v>1</v>
      </c>
      <c r="AA93" s="159">
        <v>1</v>
      </c>
      <c r="AB93" s="158">
        <v>1</v>
      </c>
      <c r="AC93" s="158">
        <v>1</v>
      </c>
      <c r="AD93" s="158">
        <v>1</v>
      </c>
      <c r="AE93" s="160">
        <v>1</v>
      </c>
      <c r="AF93" s="170">
        <v>1</v>
      </c>
      <c r="AG93" s="158">
        <v>1</v>
      </c>
      <c r="AH93" s="158">
        <v>1</v>
      </c>
      <c r="AI93" s="158">
        <v>1</v>
      </c>
      <c r="AJ93" s="158">
        <v>1</v>
      </c>
      <c r="AK93" s="73">
        <f t="shared" si="7"/>
        <v>77.658425225739379</v>
      </c>
      <c r="AL93" s="162"/>
      <c r="AM93" s="163"/>
      <c r="AN93" s="164"/>
      <c r="AO93" s="170" t="s">
        <v>49</v>
      </c>
      <c r="AP93" s="70">
        <f t="shared" si="8"/>
        <v>0.49</v>
      </c>
      <c r="AQ93" s="72">
        <f>IF(head!F$82="S235",235,IF(head!F$82="S275",275,IF(head!F$82="S355",355,IF(head!F$82="S420",420,460))))^0.5*head!$G$70*1000/(S93*3.1416*210000^0.5)</f>
        <v>2.6644653638924871</v>
      </c>
      <c r="AR93" s="72">
        <f t="shared" si="9"/>
        <v>4.6534818518450214</v>
      </c>
      <c r="AS93" s="72">
        <f t="shared" si="10"/>
        <v>0.1180825574715699</v>
      </c>
      <c r="AT93" s="52">
        <f>IF(head!F$82="S235",235,IF(head!F$82="S275",275,IF(head!F$82="S355",355,IF(head!F$82="S420",420,460))))*AS93*J93/1000</f>
        <v>258.44037578054139</v>
      </c>
      <c r="AU93" s="192" t="s">
        <v>47</v>
      </c>
      <c r="AV93" s="75" t="s">
        <v>47</v>
      </c>
      <c r="AW93" s="75" t="s">
        <v>47</v>
      </c>
      <c r="AX93" s="76" t="s">
        <v>47</v>
      </c>
      <c r="AY93" s="67" t="s">
        <v>47</v>
      </c>
      <c r="AZ93" s="193">
        <v>0</v>
      </c>
      <c r="BA93" s="169" t="str">
        <f t="shared" si="11"/>
        <v>CF CHS 152,4 x 16</v>
      </c>
      <c r="BB93" s="145"/>
    </row>
    <row r="94" spans="1:54" s="146" customFormat="1" ht="13.5" customHeight="1">
      <c r="A94" s="147" t="s">
        <v>380</v>
      </c>
      <c r="B94" s="62">
        <f t="shared" si="6"/>
        <v>281.46102276964672</v>
      </c>
      <c r="C94" s="149">
        <v>152.4</v>
      </c>
      <c r="D94" s="149"/>
      <c r="E94" s="150" t="s">
        <v>831</v>
      </c>
      <c r="F94" s="149"/>
      <c r="G94" s="149"/>
      <c r="H94" s="151">
        <v>53.821262686475769</v>
      </c>
      <c r="I94" s="152">
        <v>54.849694457554925</v>
      </c>
      <c r="J94" s="152">
        <v>6856.2118071943651</v>
      </c>
      <c r="K94" s="152">
        <v>0.47877872040708452</v>
      </c>
      <c r="L94" s="153">
        <v>16164342.080877582</v>
      </c>
      <c r="M94" s="154">
        <v>212130.47350233045</v>
      </c>
      <c r="N94" s="154">
        <v>299044.69333333336</v>
      </c>
      <c r="O94" s="155">
        <v>48.555329264664657</v>
      </c>
      <c r="P94" s="154">
        <v>16164342.080877582</v>
      </c>
      <c r="Q94" s="154">
        <v>212130.47350233045</v>
      </c>
      <c r="R94" s="154">
        <v>299044.69333333336</v>
      </c>
      <c r="S94" s="152">
        <v>48.555329264664657</v>
      </c>
      <c r="T94" s="153">
        <v>32328684.161755163</v>
      </c>
      <c r="U94" s="156"/>
      <c r="V94" s="157">
        <v>1</v>
      </c>
      <c r="W94" s="158">
        <v>1</v>
      </c>
      <c r="X94" s="158">
        <v>1</v>
      </c>
      <c r="Y94" s="158">
        <v>1</v>
      </c>
      <c r="Z94" s="158">
        <v>1</v>
      </c>
      <c r="AA94" s="159">
        <v>1</v>
      </c>
      <c r="AB94" s="158">
        <v>1</v>
      </c>
      <c r="AC94" s="158">
        <v>1</v>
      </c>
      <c r="AD94" s="158">
        <v>1</v>
      </c>
      <c r="AE94" s="160">
        <v>1</v>
      </c>
      <c r="AF94" s="170">
        <v>1</v>
      </c>
      <c r="AG94" s="158">
        <v>1</v>
      </c>
      <c r="AH94" s="158">
        <v>1</v>
      </c>
      <c r="AI94" s="158">
        <v>1</v>
      </c>
      <c r="AJ94" s="158">
        <v>1</v>
      </c>
      <c r="AK94" s="73">
        <f t="shared" si="7"/>
        <v>69.831378299120232</v>
      </c>
      <c r="AL94" s="162"/>
      <c r="AM94" s="163"/>
      <c r="AN94" s="164"/>
      <c r="AO94" s="170" t="s">
        <v>49</v>
      </c>
      <c r="AP94" s="70">
        <f t="shared" si="8"/>
        <v>0.49</v>
      </c>
      <c r="AQ94" s="72">
        <f>IF(head!F$82="S235",235,IF(head!F$82="S275",275,IF(head!F$82="S355",355,IF(head!F$82="S420",420,460))))^0.5*head!$G$70*1000/(S94*3.1416*210000^0.5)</f>
        <v>2.6953597416286867</v>
      </c>
      <c r="AR94" s="72">
        <f t="shared" si="9"/>
        <v>4.7438452050953588</v>
      </c>
      <c r="AS94" s="72">
        <f t="shared" si="10"/>
        <v>0.11563936088319818</v>
      </c>
      <c r="AT94" s="52">
        <f>IF(head!F$82="S235",235,IF(head!F$82="S275",275,IF(head!F$82="S355",355,IF(head!F$82="S420",420,460))))*AS94*J94/1000</f>
        <v>281.46102276964672</v>
      </c>
      <c r="AU94" s="192" t="s">
        <v>47</v>
      </c>
      <c r="AV94" s="75" t="s">
        <v>47</v>
      </c>
      <c r="AW94" s="75" t="s">
        <v>47</v>
      </c>
      <c r="AX94" s="76" t="s">
        <v>47</v>
      </c>
      <c r="AY94" s="67" t="s">
        <v>47</v>
      </c>
      <c r="AZ94" s="193">
        <v>0</v>
      </c>
      <c r="BA94" s="169" t="str">
        <f t="shared" si="11"/>
        <v>CF CHS 152,4 x 17,5</v>
      </c>
      <c r="BB94" s="145"/>
    </row>
    <row r="95" spans="1:54" s="146" customFormat="1" ht="13.5" customHeight="1">
      <c r="A95" s="147" t="s">
        <v>381</v>
      </c>
      <c r="B95" s="62">
        <f t="shared" si="6"/>
        <v>299.22936556215552</v>
      </c>
      <c r="C95" s="149">
        <v>152.4</v>
      </c>
      <c r="D95" s="149"/>
      <c r="E95" s="150" t="s">
        <v>832</v>
      </c>
      <c r="F95" s="149"/>
      <c r="G95" s="149"/>
      <c r="H95" s="151">
        <v>58.219641627152512</v>
      </c>
      <c r="I95" s="152">
        <v>59.332118855696827</v>
      </c>
      <c r="J95" s="152">
        <v>7416.5148569621042</v>
      </c>
      <c r="K95" s="152">
        <v>0.47877872040708452</v>
      </c>
      <c r="L95" s="153">
        <v>17154639.9008862</v>
      </c>
      <c r="M95" s="154">
        <v>225126.50788564567</v>
      </c>
      <c r="N95" s="154">
        <v>320251.63333333336</v>
      </c>
      <c r="O95" s="155">
        <v>48.093996506840647</v>
      </c>
      <c r="P95" s="154">
        <v>17154639.9008862</v>
      </c>
      <c r="Q95" s="154">
        <v>225126.50788564567</v>
      </c>
      <c r="R95" s="154">
        <v>320251.63333333336</v>
      </c>
      <c r="S95" s="152">
        <v>48.093996506840647</v>
      </c>
      <c r="T95" s="153">
        <v>34309279.801772401</v>
      </c>
      <c r="U95" s="156"/>
      <c r="V95" s="157">
        <v>1</v>
      </c>
      <c r="W95" s="158">
        <v>1</v>
      </c>
      <c r="X95" s="158">
        <v>1</v>
      </c>
      <c r="Y95" s="158">
        <v>1</v>
      </c>
      <c r="Z95" s="158">
        <v>1</v>
      </c>
      <c r="AA95" s="159">
        <v>1</v>
      </c>
      <c r="AB95" s="158">
        <v>1</v>
      </c>
      <c r="AC95" s="158">
        <v>1</v>
      </c>
      <c r="AD95" s="158">
        <v>1</v>
      </c>
      <c r="AE95" s="160">
        <v>1</v>
      </c>
      <c r="AF95" s="170">
        <v>1</v>
      </c>
      <c r="AG95" s="158">
        <v>1</v>
      </c>
      <c r="AH95" s="158">
        <v>1</v>
      </c>
      <c r="AI95" s="158">
        <v>1</v>
      </c>
      <c r="AJ95" s="158">
        <v>1</v>
      </c>
      <c r="AK95" s="73">
        <f t="shared" si="7"/>
        <v>64.555755586148479</v>
      </c>
      <c r="AL95" s="162"/>
      <c r="AM95" s="163"/>
      <c r="AN95" s="164"/>
      <c r="AO95" s="170" t="s">
        <v>49</v>
      </c>
      <c r="AP95" s="70">
        <f t="shared" si="8"/>
        <v>0.49</v>
      </c>
      <c r="AQ95" s="72">
        <f>IF(head!F$82="S235",235,IF(head!F$82="S275",275,IF(head!F$82="S355",355,IF(head!F$82="S420",420,460))))^0.5*head!$G$70*1000/(S95*3.1416*210000^0.5)</f>
        <v>2.7212144809568377</v>
      </c>
      <c r="AR95" s="72">
        <f t="shared" si="9"/>
        <v>4.820201673519021</v>
      </c>
      <c r="AS95" s="72">
        <f t="shared" si="10"/>
        <v>0.11365171344740063</v>
      </c>
      <c r="AT95" s="52">
        <f>IF(head!F$82="S235",235,IF(head!F$82="S275",275,IF(head!F$82="S355",355,IF(head!F$82="S420",420,460))))*AS95*J95/1000</f>
        <v>299.22936556215552</v>
      </c>
      <c r="AU95" s="192" t="s">
        <v>47</v>
      </c>
      <c r="AV95" s="75" t="s">
        <v>47</v>
      </c>
      <c r="AW95" s="75" t="s">
        <v>47</v>
      </c>
      <c r="AX95" s="76" t="s">
        <v>47</v>
      </c>
      <c r="AY95" s="67" t="s">
        <v>47</v>
      </c>
      <c r="AZ95" s="193">
        <v>0</v>
      </c>
      <c r="BA95" s="169" t="str">
        <f t="shared" si="11"/>
        <v>CF CHS 152,4 x 20</v>
      </c>
      <c r="BB95" s="145"/>
    </row>
    <row r="96" spans="1:54" s="146" customFormat="1" ht="13.5" customHeight="1">
      <c r="A96" s="147" t="s">
        <v>382</v>
      </c>
      <c r="B96" s="62">
        <f t="shared" si="6"/>
        <v>326.14746020016941</v>
      </c>
      <c r="C96" s="149">
        <v>152.4</v>
      </c>
      <c r="D96" s="149"/>
      <c r="E96" s="150" t="s">
        <v>833</v>
      </c>
      <c r="F96" s="149"/>
      <c r="G96" s="149"/>
      <c r="H96" s="151">
        <v>65.303658171640308</v>
      </c>
      <c r="I96" s="152">
        <v>66.551498773646173</v>
      </c>
      <c r="J96" s="152">
        <v>8318.9373467057721</v>
      </c>
      <c r="K96" s="152">
        <v>0.47877872040708452</v>
      </c>
      <c r="L96" s="153">
        <v>18644568.760183912</v>
      </c>
      <c r="M96" s="154">
        <v>244679.38005490694</v>
      </c>
      <c r="N96" s="154">
        <v>353261.8666666667</v>
      </c>
      <c r="O96" s="155">
        <v>47.341525112737976</v>
      </c>
      <c r="P96" s="154">
        <v>18644568.760183912</v>
      </c>
      <c r="Q96" s="154">
        <v>244679.38005490694</v>
      </c>
      <c r="R96" s="154">
        <v>353261.8666666667</v>
      </c>
      <c r="S96" s="152">
        <v>47.341525112737976</v>
      </c>
      <c r="T96" s="153">
        <v>37289137.520367824</v>
      </c>
      <c r="U96" s="156"/>
      <c r="V96" s="157">
        <v>1</v>
      </c>
      <c r="W96" s="158">
        <v>1</v>
      </c>
      <c r="X96" s="158">
        <v>1</v>
      </c>
      <c r="Y96" s="158">
        <v>1</v>
      </c>
      <c r="Z96" s="158">
        <v>1</v>
      </c>
      <c r="AA96" s="159">
        <v>1</v>
      </c>
      <c r="AB96" s="158">
        <v>1</v>
      </c>
      <c r="AC96" s="158">
        <v>1</v>
      </c>
      <c r="AD96" s="158">
        <v>1</v>
      </c>
      <c r="AE96" s="160">
        <v>1</v>
      </c>
      <c r="AF96" s="170">
        <v>1</v>
      </c>
      <c r="AG96" s="158">
        <v>1</v>
      </c>
      <c r="AH96" s="158">
        <v>1</v>
      </c>
      <c r="AI96" s="158">
        <v>1</v>
      </c>
      <c r="AJ96" s="158">
        <v>1</v>
      </c>
      <c r="AK96" s="73">
        <f t="shared" si="7"/>
        <v>57.55287009063445</v>
      </c>
      <c r="AL96" s="162"/>
      <c r="AM96" s="163"/>
      <c r="AN96" s="164"/>
      <c r="AO96" s="170" t="s">
        <v>49</v>
      </c>
      <c r="AP96" s="70">
        <f t="shared" si="8"/>
        <v>0.49</v>
      </c>
      <c r="AQ96" s="72">
        <f>IF(head!F$82="S235",235,IF(head!F$82="S275",275,IF(head!F$82="S355",355,IF(head!F$82="S420",420,460))))^0.5*head!$G$70*1000/(S96*3.1416*210000^0.5)</f>
        <v>2.7644669120786021</v>
      </c>
      <c r="AR96" s="72">
        <f t="shared" si="9"/>
        <v>4.9494330474479584</v>
      </c>
      <c r="AS96" s="72">
        <f t="shared" si="10"/>
        <v>0.11043781215208749</v>
      </c>
      <c r="AT96" s="52">
        <f>IF(head!F$82="S235",235,IF(head!F$82="S275",275,IF(head!F$82="S355",355,IF(head!F$82="S420",420,460))))*AS96*J96/1000</f>
        <v>326.14746020016941</v>
      </c>
      <c r="AU96" s="192" t="s">
        <v>47</v>
      </c>
      <c r="AV96" s="75" t="s">
        <v>47</v>
      </c>
      <c r="AW96" s="75" t="s">
        <v>47</v>
      </c>
      <c r="AX96" s="76" t="s">
        <v>47</v>
      </c>
      <c r="AY96" s="67" t="s">
        <v>47</v>
      </c>
      <c r="AZ96" s="193">
        <v>0</v>
      </c>
      <c r="BA96" s="169" t="str">
        <f t="shared" si="11"/>
        <v>CF CHS 159 x 5,6</v>
      </c>
      <c r="BB96" s="145"/>
    </row>
    <row r="97" spans="1:54" s="146" customFormat="1" ht="13.5" customHeight="1">
      <c r="A97" s="147" t="s">
        <v>383</v>
      </c>
      <c r="B97" s="62">
        <f t="shared" si="6"/>
        <v>135.37271345431017</v>
      </c>
      <c r="C97" s="149">
        <v>159</v>
      </c>
      <c r="D97" s="149"/>
      <c r="E97" s="150" t="s">
        <v>823</v>
      </c>
      <c r="F97" s="149"/>
      <c r="G97" s="149"/>
      <c r="H97" s="151">
        <v>21.185216962147216</v>
      </c>
      <c r="I97" s="152">
        <v>21.590030025118182</v>
      </c>
      <c r="J97" s="152">
        <v>2698.7537531397729</v>
      </c>
      <c r="K97" s="152">
        <v>0.49951323192077712</v>
      </c>
      <c r="L97" s="153">
        <v>7948814.8481165282</v>
      </c>
      <c r="M97" s="154">
        <v>99985.09242913872</v>
      </c>
      <c r="N97" s="154">
        <v>131835.27466666652</v>
      </c>
      <c r="O97" s="155">
        <v>54.271217049187321</v>
      </c>
      <c r="P97" s="154">
        <v>7948814.8481165282</v>
      </c>
      <c r="Q97" s="154">
        <v>99985.09242913872</v>
      </c>
      <c r="R97" s="154">
        <v>131835.27466666652</v>
      </c>
      <c r="S97" s="152">
        <v>54.271217049187321</v>
      </c>
      <c r="T97" s="153">
        <v>15897629.696233056</v>
      </c>
      <c r="U97" s="156"/>
      <c r="V97" s="157">
        <v>1</v>
      </c>
      <c r="W97" s="158">
        <v>1</v>
      </c>
      <c r="X97" s="158">
        <v>1</v>
      </c>
      <c r="Y97" s="158">
        <v>2</v>
      </c>
      <c r="Z97" s="158">
        <v>2</v>
      </c>
      <c r="AA97" s="159">
        <v>1</v>
      </c>
      <c r="AB97" s="158">
        <v>1</v>
      </c>
      <c r="AC97" s="158">
        <v>2</v>
      </c>
      <c r="AD97" s="158">
        <v>3</v>
      </c>
      <c r="AE97" s="160">
        <v>3</v>
      </c>
      <c r="AF97" s="170">
        <v>1</v>
      </c>
      <c r="AG97" s="158">
        <v>1</v>
      </c>
      <c r="AH97" s="158">
        <v>2</v>
      </c>
      <c r="AI97" s="158">
        <v>3</v>
      </c>
      <c r="AJ97" s="158">
        <v>3</v>
      </c>
      <c r="AK97" s="73">
        <f t="shared" si="7"/>
        <v>185.09033339541836</v>
      </c>
      <c r="AL97" s="162"/>
      <c r="AM97" s="163"/>
      <c r="AN97" s="164"/>
      <c r="AO97" s="170" t="s">
        <v>49</v>
      </c>
      <c r="AP97" s="70">
        <f t="shared" si="8"/>
        <v>0.49</v>
      </c>
      <c r="AQ97" s="72">
        <f>IF(head!F$82="S235",235,IF(head!F$82="S275",275,IF(head!F$82="S355",355,IF(head!F$82="S420",420,460))))^0.5*head!$G$70*1000/(S97*3.1416*210000^0.5)</f>
        <v>2.4114823078850063</v>
      </c>
      <c r="AR97" s="72">
        <f t="shared" si="9"/>
        <v>3.9494366260530245</v>
      </c>
      <c r="AS97" s="72">
        <f t="shared" si="10"/>
        <v>0.14129914103930111</v>
      </c>
      <c r="AT97" s="52">
        <f>IF(head!F$82="S235",235,IF(head!F$82="S275",275,IF(head!F$82="S355",355,IF(head!F$82="S420",420,460))))*AS97*J97/1000</f>
        <v>135.37271345431017</v>
      </c>
      <c r="AU97" s="192" t="s">
        <v>47</v>
      </c>
      <c r="AV97" s="75" t="s">
        <v>47</v>
      </c>
      <c r="AW97" s="75" t="s">
        <v>47</v>
      </c>
      <c r="AX97" s="76" t="s">
        <v>47</v>
      </c>
      <c r="AY97" s="67" t="s">
        <v>47</v>
      </c>
      <c r="AZ97" s="193">
        <v>0</v>
      </c>
      <c r="BA97" s="169" t="str">
        <f t="shared" si="11"/>
        <v>CF CHS 159 x 6,3</v>
      </c>
      <c r="BB97" s="145"/>
    </row>
    <row r="98" spans="1:54" s="146" customFormat="1" ht="13.5" customHeight="1">
      <c r="A98" s="147" t="s">
        <v>384</v>
      </c>
      <c r="B98" s="62">
        <f t="shared" si="6"/>
        <v>150.41553803457651</v>
      </c>
      <c r="C98" s="149">
        <v>159</v>
      </c>
      <c r="D98" s="149"/>
      <c r="E98" s="150">
        <v>6.3</v>
      </c>
      <c r="F98" s="149"/>
      <c r="G98" s="149"/>
      <c r="H98" s="151">
        <v>23.724611857137329</v>
      </c>
      <c r="I98" s="152">
        <v>24.177948389439315</v>
      </c>
      <c r="J98" s="152">
        <v>3022.2435486799145</v>
      </c>
      <c r="K98" s="152">
        <v>0.49951323192077712</v>
      </c>
      <c r="L98" s="153">
        <v>8823810.265205726</v>
      </c>
      <c r="M98" s="154">
        <v>110991.32409063805</v>
      </c>
      <c r="N98" s="154">
        <v>146982.27599999993</v>
      </c>
      <c r="O98" s="155">
        <v>54.03353125606359</v>
      </c>
      <c r="P98" s="154">
        <v>8823810.265205726</v>
      </c>
      <c r="Q98" s="154">
        <v>110991.32409063805</v>
      </c>
      <c r="R98" s="154">
        <v>146982.27599999993</v>
      </c>
      <c r="S98" s="152">
        <v>54.03353125606359</v>
      </c>
      <c r="T98" s="153">
        <v>17647620.530411452</v>
      </c>
      <c r="U98" s="156"/>
      <c r="V98" s="157">
        <v>1</v>
      </c>
      <c r="W98" s="158">
        <v>1</v>
      </c>
      <c r="X98" s="158">
        <v>1</v>
      </c>
      <c r="Y98" s="158">
        <v>1</v>
      </c>
      <c r="Z98" s="158">
        <v>1</v>
      </c>
      <c r="AA98" s="159">
        <v>1</v>
      </c>
      <c r="AB98" s="158">
        <v>1</v>
      </c>
      <c r="AC98" s="158">
        <v>2</v>
      </c>
      <c r="AD98" s="158">
        <v>2</v>
      </c>
      <c r="AE98" s="160">
        <v>2</v>
      </c>
      <c r="AF98" s="170">
        <v>1</v>
      </c>
      <c r="AG98" s="158">
        <v>1</v>
      </c>
      <c r="AH98" s="158">
        <v>2</v>
      </c>
      <c r="AI98" s="158">
        <v>2</v>
      </c>
      <c r="AJ98" s="158">
        <v>2</v>
      </c>
      <c r="AK98" s="73">
        <f t="shared" si="7"/>
        <v>165.27894720429114</v>
      </c>
      <c r="AL98" s="162"/>
      <c r="AM98" s="163"/>
      <c r="AN98" s="164"/>
      <c r="AO98" s="170" t="s">
        <v>49</v>
      </c>
      <c r="AP98" s="70">
        <f t="shared" si="8"/>
        <v>0.49</v>
      </c>
      <c r="AQ98" s="72">
        <f>IF(head!F$82="S235",235,IF(head!F$82="S275",275,IF(head!F$82="S355",355,IF(head!F$82="S420",420,460))))^0.5*head!$G$70*1000/(S98*3.1416*210000^0.5)</f>
        <v>2.4220900744260683</v>
      </c>
      <c r="AR98" s="72">
        <f t="shared" si="9"/>
        <v>3.9776722325510248</v>
      </c>
      <c r="AS98" s="72">
        <f t="shared" si="10"/>
        <v>0.14019576321952593</v>
      </c>
      <c r="AT98" s="52">
        <f>IF(head!F$82="S235",235,IF(head!F$82="S275",275,IF(head!F$82="S355",355,IF(head!F$82="S420",420,460))))*AS98*J98/1000</f>
        <v>150.41553803457651</v>
      </c>
      <c r="AU98" s="192" t="s">
        <v>47</v>
      </c>
      <c r="AV98" s="75" t="s">
        <v>47</v>
      </c>
      <c r="AW98" s="75" t="s">
        <v>47</v>
      </c>
      <c r="AX98" s="76" t="s">
        <v>47</v>
      </c>
      <c r="AY98" s="67" t="s">
        <v>47</v>
      </c>
      <c r="AZ98" s="193">
        <v>0</v>
      </c>
      <c r="BA98" s="169" t="str">
        <f t="shared" si="11"/>
        <v>CF CHS 159 x 7,1</v>
      </c>
      <c r="BB98" s="145"/>
    </row>
    <row r="99" spans="1:54" s="146" customFormat="1" ht="13.5" customHeight="1">
      <c r="A99" s="147" t="s">
        <v>385</v>
      </c>
      <c r="B99" s="62">
        <f t="shared" si="6"/>
        <v>167.12389247283974</v>
      </c>
      <c r="C99" s="149">
        <v>159</v>
      </c>
      <c r="D99" s="149"/>
      <c r="E99" s="150" t="s">
        <v>825</v>
      </c>
      <c r="F99" s="149"/>
      <c r="G99" s="149"/>
      <c r="H99" s="151">
        <v>26.597183648614909</v>
      </c>
      <c r="I99" s="152">
        <v>27.105410087760415</v>
      </c>
      <c r="J99" s="152">
        <v>3388.1762609700522</v>
      </c>
      <c r="K99" s="152">
        <v>0.49951323192077712</v>
      </c>
      <c r="L99" s="153">
        <v>9793531.9527745917</v>
      </c>
      <c r="M99" s="154">
        <v>123189.081166976</v>
      </c>
      <c r="N99" s="154">
        <v>163941.93466666652</v>
      </c>
      <c r="O99" s="155">
        <v>53.763393680086836</v>
      </c>
      <c r="P99" s="154">
        <v>9793531.9527745917</v>
      </c>
      <c r="Q99" s="154">
        <v>123189.081166976</v>
      </c>
      <c r="R99" s="154">
        <v>163941.93466666652</v>
      </c>
      <c r="S99" s="152">
        <v>53.763393680086836</v>
      </c>
      <c r="T99" s="153">
        <v>19587063.905549183</v>
      </c>
      <c r="U99" s="156"/>
      <c r="V99" s="157">
        <v>1</v>
      </c>
      <c r="W99" s="158">
        <v>1</v>
      </c>
      <c r="X99" s="158">
        <v>1</v>
      </c>
      <c r="Y99" s="158">
        <v>1</v>
      </c>
      <c r="Z99" s="158">
        <v>1</v>
      </c>
      <c r="AA99" s="159">
        <v>1</v>
      </c>
      <c r="AB99" s="158">
        <v>1</v>
      </c>
      <c r="AC99" s="158">
        <v>1</v>
      </c>
      <c r="AD99" s="158">
        <v>2</v>
      </c>
      <c r="AE99" s="160">
        <v>2</v>
      </c>
      <c r="AF99" s="170">
        <v>1</v>
      </c>
      <c r="AG99" s="158">
        <v>1</v>
      </c>
      <c r="AH99" s="158">
        <v>1</v>
      </c>
      <c r="AI99" s="158">
        <v>2</v>
      </c>
      <c r="AJ99" s="158">
        <v>2</v>
      </c>
      <c r="AK99" s="73">
        <f t="shared" si="7"/>
        <v>147.42834889521478</v>
      </c>
      <c r="AL99" s="162"/>
      <c r="AM99" s="163"/>
      <c r="AN99" s="164"/>
      <c r="AO99" s="170" t="s">
        <v>49</v>
      </c>
      <c r="AP99" s="70">
        <f t="shared" si="8"/>
        <v>0.49</v>
      </c>
      <c r="AQ99" s="72">
        <f>IF(head!F$82="S235",235,IF(head!F$82="S275",275,IF(head!F$82="S355",355,IF(head!F$82="S420",420,460))))^0.5*head!$G$70*1000/(S99*3.1416*210000^0.5)</f>
        <v>2.4342600193777608</v>
      </c>
      <c r="AR99" s="72">
        <f t="shared" si="9"/>
        <v>4.0102046257180595</v>
      </c>
      <c r="AS99" s="72">
        <f t="shared" si="10"/>
        <v>0.13894540656445128</v>
      </c>
      <c r="AT99" s="52">
        <f>IF(head!F$82="S235",235,IF(head!F$82="S275",275,IF(head!F$82="S355",355,IF(head!F$82="S420",420,460))))*AS99*J99/1000</f>
        <v>167.12389247283974</v>
      </c>
      <c r="AU99" s="192" t="s">
        <v>47</v>
      </c>
      <c r="AV99" s="75" t="s">
        <v>47</v>
      </c>
      <c r="AW99" s="75" t="s">
        <v>47</v>
      </c>
      <c r="AX99" s="76" t="s">
        <v>47</v>
      </c>
      <c r="AY99" s="67" t="s">
        <v>47</v>
      </c>
      <c r="AZ99" s="193">
        <v>0</v>
      </c>
      <c r="BA99" s="169" t="str">
        <f t="shared" si="11"/>
        <v>CF CHS 159 x 8</v>
      </c>
      <c r="BB99" s="145"/>
    </row>
    <row r="100" spans="1:54" s="146" customFormat="1" ht="13.5" customHeight="1">
      <c r="A100" s="147" t="s">
        <v>386</v>
      </c>
      <c r="B100" s="62">
        <f t="shared" si="6"/>
        <v>185.31619412081881</v>
      </c>
      <c r="C100" s="149">
        <v>159</v>
      </c>
      <c r="D100" s="149"/>
      <c r="E100" s="150" t="s">
        <v>826</v>
      </c>
      <c r="F100" s="149"/>
      <c r="G100" s="149"/>
      <c r="H100" s="151">
        <v>29.791094815461289</v>
      </c>
      <c r="I100" s="152">
        <v>30.360351404291759</v>
      </c>
      <c r="J100" s="152">
        <v>3795.0439255364699</v>
      </c>
      <c r="K100" s="152">
        <v>0.49951323192077712</v>
      </c>
      <c r="L100" s="153">
        <v>10846709.919673923</v>
      </c>
      <c r="M100" s="154">
        <v>136436.60276319401</v>
      </c>
      <c r="N100" s="154">
        <v>182578.66666666666</v>
      </c>
      <c r="O100" s="155">
        <v>53.461434698294433</v>
      </c>
      <c r="P100" s="154">
        <v>10846709.919673923</v>
      </c>
      <c r="Q100" s="154">
        <v>136436.60276319401</v>
      </c>
      <c r="R100" s="154">
        <v>182578.66666666666</v>
      </c>
      <c r="S100" s="152">
        <v>53.461434698294433</v>
      </c>
      <c r="T100" s="153">
        <v>21693419.839347847</v>
      </c>
      <c r="U100" s="156"/>
      <c r="V100" s="157">
        <v>1</v>
      </c>
      <c r="W100" s="158">
        <v>1</v>
      </c>
      <c r="X100" s="158">
        <v>1</v>
      </c>
      <c r="Y100" s="158">
        <v>1</v>
      </c>
      <c r="Z100" s="158">
        <v>1</v>
      </c>
      <c r="AA100" s="159">
        <v>1</v>
      </c>
      <c r="AB100" s="158">
        <v>1</v>
      </c>
      <c r="AC100" s="158">
        <v>1</v>
      </c>
      <c r="AD100" s="158">
        <v>1</v>
      </c>
      <c r="AE100" s="160">
        <v>2</v>
      </c>
      <c r="AF100" s="170">
        <v>1</v>
      </c>
      <c r="AG100" s="158">
        <v>1</v>
      </c>
      <c r="AH100" s="158">
        <v>1</v>
      </c>
      <c r="AI100" s="158">
        <v>1</v>
      </c>
      <c r="AJ100" s="158">
        <v>2</v>
      </c>
      <c r="AK100" s="73">
        <f t="shared" si="7"/>
        <v>131.6225165562914</v>
      </c>
      <c r="AL100" s="162"/>
      <c r="AM100" s="163"/>
      <c r="AN100" s="164"/>
      <c r="AO100" s="170" t="s">
        <v>49</v>
      </c>
      <c r="AP100" s="70">
        <f t="shared" si="8"/>
        <v>0.49</v>
      </c>
      <c r="AQ100" s="72">
        <f>IF(head!F$82="S235",235,IF(head!F$82="S275",275,IF(head!F$82="S355",355,IF(head!F$82="S420",420,460))))^0.5*head!$G$70*1000/(S100*3.1416*210000^0.5)</f>
        <v>2.4480091205946928</v>
      </c>
      <c r="AR100" s="72">
        <f t="shared" si="9"/>
        <v>4.0471365618031001</v>
      </c>
      <c r="AS100" s="72">
        <f t="shared" si="10"/>
        <v>0.13755241269147256</v>
      </c>
      <c r="AT100" s="52">
        <f>IF(head!F$82="S235",235,IF(head!F$82="S275",275,IF(head!F$82="S355",355,IF(head!F$82="S420",420,460))))*AS100*J100/1000</f>
        <v>185.31619412081881</v>
      </c>
      <c r="AU100" s="192" t="s">
        <v>47</v>
      </c>
      <c r="AV100" s="75" t="s">
        <v>47</v>
      </c>
      <c r="AW100" s="75" t="s">
        <v>47</v>
      </c>
      <c r="AX100" s="76" t="s">
        <v>47</v>
      </c>
      <c r="AY100" s="67" t="s">
        <v>47</v>
      </c>
      <c r="AZ100" s="193">
        <v>0</v>
      </c>
      <c r="BA100" s="169" t="str">
        <f t="shared" si="11"/>
        <v>CF CHS 159 x 10</v>
      </c>
      <c r="BB100" s="145"/>
    </row>
    <row r="101" spans="1:54" s="146" customFormat="1" ht="13.5" customHeight="1">
      <c r="A101" s="147" t="s">
        <v>387</v>
      </c>
      <c r="B101" s="62">
        <f t="shared" si="6"/>
        <v>223.51992316426214</v>
      </c>
      <c r="C101" s="149">
        <v>159</v>
      </c>
      <c r="D101" s="149"/>
      <c r="E101" s="150" t="s">
        <v>828</v>
      </c>
      <c r="F101" s="149"/>
      <c r="G101" s="149"/>
      <c r="H101" s="151">
        <v>36.745638472713011</v>
      </c>
      <c r="I101" s="152">
        <v>37.447784430790328</v>
      </c>
      <c r="J101" s="152">
        <v>4680.973053848792</v>
      </c>
      <c r="K101" s="152">
        <v>0.49951323192077712</v>
      </c>
      <c r="L101" s="153">
        <v>13048797.509235239</v>
      </c>
      <c r="M101" s="154">
        <v>164135.81772622943</v>
      </c>
      <c r="N101" s="154">
        <v>222343.33333333334</v>
      </c>
      <c r="O101" s="155">
        <v>52.79796397589589</v>
      </c>
      <c r="P101" s="154">
        <v>13048797.509235239</v>
      </c>
      <c r="Q101" s="154">
        <v>164135.81772622943</v>
      </c>
      <c r="R101" s="154">
        <v>222343.33333333334</v>
      </c>
      <c r="S101" s="152">
        <v>52.79796397589589</v>
      </c>
      <c r="T101" s="153">
        <v>26097595.018470477</v>
      </c>
      <c r="U101" s="156"/>
      <c r="V101" s="157">
        <v>1</v>
      </c>
      <c r="W101" s="158">
        <v>1</v>
      </c>
      <c r="X101" s="158">
        <v>1</v>
      </c>
      <c r="Y101" s="158">
        <v>1</v>
      </c>
      <c r="Z101" s="158">
        <v>1</v>
      </c>
      <c r="AA101" s="159">
        <v>1</v>
      </c>
      <c r="AB101" s="158">
        <v>1</v>
      </c>
      <c r="AC101" s="158">
        <v>1</v>
      </c>
      <c r="AD101" s="158">
        <v>1</v>
      </c>
      <c r="AE101" s="160">
        <v>1</v>
      </c>
      <c r="AF101" s="170">
        <v>1</v>
      </c>
      <c r="AG101" s="158">
        <v>1</v>
      </c>
      <c r="AH101" s="158">
        <v>1</v>
      </c>
      <c r="AI101" s="158">
        <v>1</v>
      </c>
      <c r="AJ101" s="158">
        <v>1</v>
      </c>
      <c r="AK101" s="73">
        <f t="shared" si="7"/>
        <v>106.71140939597315</v>
      </c>
      <c r="AL101" s="162"/>
      <c r="AM101" s="163"/>
      <c r="AN101" s="164"/>
      <c r="AO101" s="170" t="s">
        <v>49</v>
      </c>
      <c r="AP101" s="70">
        <f t="shared" si="8"/>
        <v>0.49</v>
      </c>
      <c r="AQ101" s="72">
        <f>IF(head!F$82="S235",235,IF(head!F$82="S275",275,IF(head!F$82="S355",355,IF(head!F$82="S420",420,460))))^0.5*head!$G$70*1000/(S101*3.1416*210000^0.5)</f>
        <v>2.4787713367366009</v>
      </c>
      <c r="AR101" s="72">
        <f t="shared" si="9"/>
        <v>4.1304526474139447</v>
      </c>
      <c r="AS101" s="72">
        <f t="shared" si="10"/>
        <v>0.13450912430707235</v>
      </c>
      <c r="AT101" s="52">
        <f>IF(head!F$82="S235",235,IF(head!F$82="S275",275,IF(head!F$82="S355",355,IF(head!F$82="S420",420,460))))*AS101*J101/1000</f>
        <v>223.51992316426214</v>
      </c>
      <c r="AU101" s="192" t="s">
        <v>47</v>
      </c>
      <c r="AV101" s="75" t="s">
        <v>47</v>
      </c>
      <c r="AW101" s="75" t="s">
        <v>47</v>
      </c>
      <c r="AX101" s="76" t="s">
        <v>47</v>
      </c>
      <c r="AY101" s="67" t="s">
        <v>47</v>
      </c>
      <c r="AZ101" s="193">
        <v>0</v>
      </c>
      <c r="BA101" s="169" t="str">
        <f t="shared" si="11"/>
        <v>CF CHS 159 x 12,5</v>
      </c>
      <c r="BB101" s="145"/>
    </row>
    <row r="102" spans="1:54" s="146" customFormat="1" ht="13.5" customHeight="1">
      <c r="A102" s="147" t="s">
        <v>388</v>
      </c>
      <c r="B102" s="62">
        <f t="shared" si="6"/>
        <v>267.15247754071697</v>
      </c>
      <c r="C102" s="149">
        <v>159</v>
      </c>
      <c r="D102" s="149"/>
      <c r="E102" s="150" t="s">
        <v>829</v>
      </c>
      <c r="F102" s="149"/>
      <c r="G102" s="149"/>
      <c r="H102" s="151">
        <v>45.161376143057517</v>
      </c>
      <c r="I102" s="152">
        <v>46.024332375090459</v>
      </c>
      <c r="J102" s="152">
        <v>5753.0415468863084</v>
      </c>
      <c r="K102" s="152">
        <v>0.49951323192077712</v>
      </c>
      <c r="L102" s="153">
        <v>15546516.085170208</v>
      </c>
      <c r="M102" s="154">
        <v>195553.66144868187</v>
      </c>
      <c r="N102" s="154">
        <v>268929.16666666669</v>
      </c>
      <c r="O102" s="155">
        <v>51.983771506115254</v>
      </c>
      <c r="P102" s="154">
        <v>15546516.085170208</v>
      </c>
      <c r="Q102" s="154">
        <v>195553.66144868187</v>
      </c>
      <c r="R102" s="154">
        <v>268929.16666666669</v>
      </c>
      <c r="S102" s="152">
        <v>51.983771506115254</v>
      </c>
      <c r="T102" s="153">
        <v>31093032.170340415</v>
      </c>
      <c r="U102" s="156"/>
      <c r="V102" s="157">
        <v>1</v>
      </c>
      <c r="W102" s="158">
        <v>1</v>
      </c>
      <c r="X102" s="158">
        <v>1</v>
      </c>
      <c r="Y102" s="158">
        <v>1</v>
      </c>
      <c r="Z102" s="158">
        <v>1</v>
      </c>
      <c r="AA102" s="159">
        <v>1</v>
      </c>
      <c r="AB102" s="158">
        <v>1</v>
      </c>
      <c r="AC102" s="158">
        <v>1</v>
      </c>
      <c r="AD102" s="158">
        <v>1</v>
      </c>
      <c r="AE102" s="160">
        <v>1</v>
      </c>
      <c r="AF102" s="170">
        <v>1</v>
      </c>
      <c r="AG102" s="158">
        <v>1</v>
      </c>
      <c r="AH102" s="158">
        <v>1</v>
      </c>
      <c r="AI102" s="158">
        <v>1</v>
      </c>
      <c r="AJ102" s="158">
        <v>1</v>
      </c>
      <c r="AK102" s="73">
        <f t="shared" si="7"/>
        <v>86.825938566552907</v>
      </c>
      <c r="AL102" s="162"/>
      <c r="AM102" s="163"/>
      <c r="AN102" s="164"/>
      <c r="AO102" s="170" t="s">
        <v>49</v>
      </c>
      <c r="AP102" s="70">
        <f t="shared" si="8"/>
        <v>0.49</v>
      </c>
      <c r="AQ102" s="72">
        <f>IF(head!F$82="S235",235,IF(head!F$82="S275",275,IF(head!F$82="S355",355,IF(head!F$82="S420",420,460))))^0.5*head!$G$70*1000/(S102*3.1416*210000^0.5)</f>
        <v>2.5175949329899354</v>
      </c>
      <c r="AR102" s="72">
        <f t="shared" si="9"/>
        <v>4.2369528818908329</v>
      </c>
      <c r="AS102" s="72">
        <f t="shared" si="10"/>
        <v>0.13080770999521735</v>
      </c>
      <c r="AT102" s="52">
        <f>IF(head!F$82="S235",235,IF(head!F$82="S275",275,IF(head!F$82="S355",355,IF(head!F$82="S420",420,460))))*AS102*J102/1000</f>
        <v>267.15247754071697</v>
      </c>
      <c r="AU102" s="192" t="s">
        <v>47</v>
      </c>
      <c r="AV102" s="75" t="s">
        <v>47</v>
      </c>
      <c r="AW102" s="75" t="s">
        <v>47</v>
      </c>
      <c r="AX102" s="76" t="s">
        <v>47</v>
      </c>
      <c r="AY102" s="67" t="s">
        <v>47</v>
      </c>
      <c r="AZ102" s="193">
        <v>0</v>
      </c>
      <c r="BA102" s="169" t="str">
        <f t="shared" si="11"/>
        <v>CF CHS 159 x 14,2</v>
      </c>
      <c r="BB102" s="145"/>
    </row>
    <row r="103" spans="1:54" s="146" customFormat="1" ht="13.5" customHeight="1">
      <c r="A103" s="147" t="s">
        <v>389</v>
      </c>
      <c r="B103" s="62">
        <f t="shared" si="6"/>
        <v>294.34340821894148</v>
      </c>
      <c r="C103" s="149">
        <v>159</v>
      </c>
      <c r="D103" s="149"/>
      <c r="E103" s="150" t="s">
        <v>830</v>
      </c>
      <c r="F103" s="149"/>
      <c r="G103" s="149"/>
      <c r="H103" s="151">
        <v>50.707994632250752</v>
      </c>
      <c r="I103" s="152">
        <v>51.676937204841529</v>
      </c>
      <c r="J103" s="152">
        <v>6459.6171506051915</v>
      </c>
      <c r="K103" s="152">
        <v>0.49951323192077712</v>
      </c>
      <c r="L103" s="153">
        <v>17092696.047959134</v>
      </c>
      <c r="M103" s="154">
        <v>215002.4660120646</v>
      </c>
      <c r="N103" s="154">
        <v>298686.39733333344</v>
      </c>
      <c r="O103" s="155">
        <v>51.440110808589822</v>
      </c>
      <c r="P103" s="154">
        <v>17092696.047959134</v>
      </c>
      <c r="Q103" s="154">
        <v>215002.4660120646</v>
      </c>
      <c r="R103" s="154">
        <v>298686.39733333344</v>
      </c>
      <c r="S103" s="152">
        <v>51.440110808589822</v>
      </c>
      <c r="T103" s="153">
        <v>34185392.095918268</v>
      </c>
      <c r="U103" s="156"/>
      <c r="V103" s="157">
        <v>1</v>
      </c>
      <c r="W103" s="158">
        <v>1</v>
      </c>
      <c r="X103" s="158">
        <v>1</v>
      </c>
      <c r="Y103" s="158">
        <v>1</v>
      </c>
      <c r="Z103" s="158">
        <v>1</v>
      </c>
      <c r="AA103" s="159">
        <v>1</v>
      </c>
      <c r="AB103" s="158">
        <v>1</v>
      </c>
      <c r="AC103" s="158">
        <v>1</v>
      </c>
      <c r="AD103" s="158">
        <v>1</v>
      </c>
      <c r="AE103" s="160">
        <v>1</v>
      </c>
      <c r="AF103" s="170">
        <v>1</v>
      </c>
      <c r="AG103" s="158">
        <v>1</v>
      </c>
      <c r="AH103" s="158">
        <v>1</v>
      </c>
      <c r="AI103" s="158">
        <v>1</v>
      </c>
      <c r="AJ103" s="158">
        <v>1</v>
      </c>
      <c r="AK103" s="73">
        <f t="shared" si="7"/>
        <v>77.328612559333877</v>
      </c>
      <c r="AL103" s="162"/>
      <c r="AM103" s="163"/>
      <c r="AN103" s="164"/>
      <c r="AO103" s="170" t="s">
        <v>49</v>
      </c>
      <c r="AP103" s="70">
        <f t="shared" si="8"/>
        <v>0.49</v>
      </c>
      <c r="AQ103" s="72">
        <f>IF(head!F$82="S235",235,IF(head!F$82="S275",275,IF(head!F$82="S355",355,IF(head!F$82="S420",420,460))))^0.5*head!$G$70*1000/(S103*3.1416*210000^0.5)</f>
        <v>2.5442029125576475</v>
      </c>
      <c r="AR103" s="72">
        <f t="shared" si="9"/>
        <v>4.3108139437100323</v>
      </c>
      <c r="AS103" s="72">
        <f t="shared" si="10"/>
        <v>0.12835688893767278</v>
      </c>
      <c r="AT103" s="52">
        <f>IF(head!F$82="S235",235,IF(head!F$82="S275",275,IF(head!F$82="S355",355,IF(head!F$82="S420",420,460))))*AS103*J103/1000</f>
        <v>294.34340821894148</v>
      </c>
      <c r="AU103" s="192" t="s">
        <v>47</v>
      </c>
      <c r="AV103" s="75" t="s">
        <v>47</v>
      </c>
      <c r="AW103" s="75" t="s">
        <v>47</v>
      </c>
      <c r="AX103" s="76" t="s">
        <v>47</v>
      </c>
      <c r="AY103" s="67" t="s">
        <v>47</v>
      </c>
      <c r="AZ103" s="193">
        <v>0</v>
      </c>
      <c r="BA103" s="169" t="str">
        <f t="shared" si="11"/>
        <v>CF CHS 159 x 16</v>
      </c>
      <c r="BB103" s="145"/>
    </row>
    <row r="104" spans="1:54" s="146" customFormat="1" ht="13.5" customHeight="1">
      <c r="A104" s="147" t="s">
        <v>390</v>
      </c>
      <c r="B104" s="62">
        <f t="shared" si="6"/>
        <v>321.06104514020245</v>
      </c>
      <c r="C104" s="149">
        <v>159</v>
      </c>
      <c r="D104" s="149"/>
      <c r="E104" s="150" t="s">
        <v>831</v>
      </c>
      <c r="F104" s="149"/>
      <c r="G104" s="149"/>
      <c r="H104" s="151">
        <v>56.425517332595554</v>
      </c>
      <c r="I104" s="152">
        <v>57.503711931307571</v>
      </c>
      <c r="J104" s="152">
        <v>7187.9639914134468</v>
      </c>
      <c r="K104" s="152">
        <v>0.49951323192077712</v>
      </c>
      <c r="L104" s="153">
        <v>18603349.305276927</v>
      </c>
      <c r="M104" s="154">
        <v>234004.39377706824</v>
      </c>
      <c r="N104" s="154">
        <v>328549.33333333331</v>
      </c>
      <c r="O104" s="155">
        <v>50.873617917344937</v>
      </c>
      <c r="P104" s="154">
        <v>18603349.305276927</v>
      </c>
      <c r="Q104" s="154">
        <v>234004.39377706824</v>
      </c>
      <c r="R104" s="154">
        <v>328549.33333333331</v>
      </c>
      <c r="S104" s="152">
        <v>50.873617917344937</v>
      </c>
      <c r="T104" s="153">
        <v>37206698.610553853</v>
      </c>
      <c r="U104" s="156"/>
      <c r="V104" s="157">
        <v>1</v>
      </c>
      <c r="W104" s="158">
        <v>1</v>
      </c>
      <c r="X104" s="158">
        <v>1</v>
      </c>
      <c r="Y104" s="158">
        <v>1</v>
      </c>
      <c r="Z104" s="158">
        <v>1</v>
      </c>
      <c r="AA104" s="159">
        <v>1</v>
      </c>
      <c r="AB104" s="158">
        <v>1</v>
      </c>
      <c r="AC104" s="158">
        <v>1</v>
      </c>
      <c r="AD104" s="158">
        <v>1</v>
      </c>
      <c r="AE104" s="160">
        <v>1</v>
      </c>
      <c r="AF104" s="170">
        <v>1</v>
      </c>
      <c r="AG104" s="158">
        <v>1</v>
      </c>
      <c r="AH104" s="158">
        <v>1</v>
      </c>
      <c r="AI104" s="158">
        <v>1</v>
      </c>
      <c r="AJ104" s="158">
        <v>1</v>
      </c>
      <c r="AK104" s="73">
        <f t="shared" si="7"/>
        <v>69.493006993007</v>
      </c>
      <c r="AL104" s="162"/>
      <c r="AM104" s="163"/>
      <c r="AN104" s="164"/>
      <c r="AO104" s="170" t="s">
        <v>49</v>
      </c>
      <c r="AP104" s="70">
        <f t="shared" si="8"/>
        <v>0.49</v>
      </c>
      <c r="AQ104" s="72">
        <f>IF(head!F$82="S235",235,IF(head!F$82="S275",275,IF(head!F$82="S355",355,IF(head!F$82="S420",420,460))))^0.5*head!$G$70*1000/(S104*3.1416*210000^0.5)</f>
        <v>2.5725333699312536</v>
      </c>
      <c r="AR104" s="72">
        <f t="shared" si="9"/>
        <v>4.3902346453380829</v>
      </c>
      <c r="AS104" s="72">
        <f t="shared" si="10"/>
        <v>0.12582106857163736</v>
      </c>
      <c r="AT104" s="52">
        <f>IF(head!F$82="S235",235,IF(head!F$82="S275",275,IF(head!F$82="S355",355,IF(head!F$82="S420",420,460))))*AS104*J104/1000</f>
        <v>321.06104514020245</v>
      </c>
      <c r="AU104" s="192" t="s">
        <v>47</v>
      </c>
      <c r="AV104" s="75" t="s">
        <v>47</v>
      </c>
      <c r="AW104" s="75" t="s">
        <v>47</v>
      </c>
      <c r="AX104" s="76" t="s">
        <v>47</v>
      </c>
      <c r="AY104" s="67" t="s">
        <v>47</v>
      </c>
      <c r="AZ104" s="193">
        <v>0</v>
      </c>
      <c r="BA104" s="169" t="str">
        <f t="shared" si="11"/>
        <v>CF CHS 159 x 17,5</v>
      </c>
      <c r="BB104" s="145"/>
    </row>
    <row r="105" spans="1:54" s="146" customFormat="1" ht="13.5" customHeight="1">
      <c r="A105" s="147" t="s">
        <v>391</v>
      </c>
      <c r="B105" s="62">
        <f t="shared" si="6"/>
        <v>341.7709066258393</v>
      </c>
      <c r="C105" s="149">
        <v>159</v>
      </c>
      <c r="D105" s="149"/>
      <c r="E105" s="150" t="s">
        <v>832</v>
      </c>
      <c r="F105" s="149"/>
      <c r="G105" s="149"/>
      <c r="H105" s="151">
        <v>61.068045146346037</v>
      </c>
      <c r="I105" s="152">
        <v>62.234950467613793</v>
      </c>
      <c r="J105" s="152">
        <v>7779.3688084517253</v>
      </c>
      <c r="K105" s="152">
        <v>0.49951323192077712</v>
      </c>
      <c r="L105" s="153">
        <v>19767862.352826361</v>
      </c>
      <c r="M105" s="154">
        <v>248652.35663932527</v>
      </c>
      <c r="N105" s="154">
        <v>352175.83333333337</v>
      </c>
      <c r="O105" s="155">
        <v>50.408952577890368</v>
      </c>
      <c r="P105" s="154">
        <v>19767862.352826361</v>
      </c>
      <c r="Q105" s="154">
        <v>248652.35663932527</v>
      </c>
      <c r="R105" s="154">
        <v>352175.83333333337</v>
      </c>
      <c r="S105" s="152">
        <v>50.408952577890368</v>
      </c>
      <c r="T105" s="153">
        <v>39535724.705652721</v>
      </c>
      <c r="U105" s="156"/>
      <c r="V105" s="157">
        <v>1</v>
      </c>
      <c r="W105" s="158">
        <v>1</v>
      </c>
      <c r="X105" s="158">
        <v>1</v>
      </c>
      <c r="Y105" s="158">
        <v>1</v>
      </c>
      <c r="Z105" s="158">
        <v>1</v>
      </c>
      <c r="AA105" s="159">
        <v>1</v>
      </c>
      <c r="AB105" s="158">
        <v>1</v>
      </c>
      <c r="AC105" s="158">
        <v>1</v>
      </c>
      <c r="AD105" s="158">
        <v>1</v>
      </c>
      <c r="AE105" s="160">
        <v>1</v>
      </c>
      <c r="AF105" s="170">
        <v>1</v>
      </c>
      <c r="AG105" s="158">
        <v>1</v>
      </c>
      <c r="AH105" s="158">
        <v>1</v>
      </c>
      <c r="AI105" s="158">
        <v>1</v>
      </c>
      <c r="AJ105" s="158">
        <v>1</v>
      </c>
      <c r="AK105" s="73">
        <f t="shared" si="7"/>
        <v>64.209994952044426</v>
      </c>
      <c r="AL105" s="162"/>
      <c r="AM105" s="163"/>
      <c r="AN105" s="164"/>
      <c r="AO105" s="170" t="s">
        <v>49</v>
      </c>
      <c r="AP105" s="70">
        <f t="shared" si="8"/>
        <v>0.49</v>
      </c>
      <c r="AQ105" s="72">
        <f>IF(head!F$82="S235",235,IF(head!F$82="S275",275,IF(head!F$82="S355",355,IF(head!F$82="S420",420,460))))^0.5*head!$G$70*1000/(S105*3.1416*210000^0.5)</f>
        <v>2.5962467587335749</v>
      </c>
      <c r="AR105" s="72">
        <f t="shared" si="9"/>
        <v>4.4573290720070222</v>
      </c>
      <c r="AS105" s="72">
        <f t="shared" si="10"/>
        <v>0.12375489219586279</v>
      </c>
      <c r="AT105" s="52">
        <f>IF(head!F$82="S235",235,IF(head!F$82="S275",275,IF(head!F$82="S355",355,IF(head!F$82="S420",420,460))))*AS105*J105/1000</f>
        <v>341.7709066258393</v>
      </c>
      <c r="AU105" s="192" t="s">
        <v>47</v>
      </c>
      <c r="AV105" s="75" t="s">
        <v>47</v>
      </c>
      <c r="AW105" s="75" t="s">
        <v>47</v>
      </c>
      <c r="AX105" s="76" t="s">
        <v>47</v>
      </c>
      <c r="AY105" s="67" t="s">
        <v>47</v>
      </c>
      <c r="AZ105" s="193">
        <v>0</v>
      </c>
      <c r="BA105" s="169" t="str">
        <f t="shared" si="11"/>
        <v>CF CHS 159 x 20</v>
      </c>
      <c r="BB105" s="145"/>
    </row>
    <row r="106" spans="1:54" s="146" customFormat="1" ht="13.5" customHeight="1">
      <c r="A106" s="147" t="s">
        <v>392</v>
      </c>
      <c r="B106" s="62">
        <f t="shared" si="6"/>
        <v>373.31572569706367</v>
      </c>
      <c r="C106" s="149">
        <v>159</v>
      </c>
      <c r="D106" s="149"/>
      <c r="E106" s="150" t="s">
        <v>833</v>
      </c>
      <c r="F106" s="149"/>
      <c r="G106" s="149"/>
      <c r="H106" s="151">
        <v>68.558976479290052</v>
      </c>
      <c r="I106" s="152">
        <v>69.869020615837002</v>
      </c>
      <c r="J106" s="152">
        <v>8733.6275769796248</v>
      </c>
      <c r="K106" s="152">
        <v>0.49951323192077712</v>
      </c>
      <c r="L106" s="153">
        <v>21529483.680701897</v>
      </c>
      <c r="M106" s="154">
        <v>270811.11548052699</v>
      </c>
      <c r="N106" s="154">
        <v>389086.66666666663</v>
      </c>
      <c r="O106" s="155">
        <v>49.650025176227253</v>
      </c>
      <c r="P106" s="154">
        <v>21529483.680701897</v>
      </c>
      <c r="Q106" s="154">
        <v>270811.11548052699</v>
      </c>
      <c r="R106" s="154">
        <v>389086.66666666663</v>
      </c>
      <c r="S106" s="152">
        <v>49.650025176227253</v>
      </c>
      <c r="T106" s="153">
        <v>43058967.361403793</v>
      </c>
      <c r="U106" s="156"/>
      <c r="V106" s="157">
        <v>1</v>
      </c>
      <c r="W106" s="158">
        <v>1</v>
      </c>
      <c r="X106" s="158">
        <v>1</v>
      </c>
      <c r="Y106" s="158">
        <v>1</v>
      </c>
      <c r="Z106" s="158">
        <v>1</v>
      </c>
      <c r="AA106" s="159">
        <v>1</v>
      </c>
      <c r="AB106" s="158">
        <v>1</v>
      </c>
      <c r="AC106" s="158">
        <v>1</v>
      </c>
      <c r="AD106" s="158">
        <v>1</v>
      </c>
      <c r="AE106" s="160">
        <v>1</v>
      </c>
      <c r="AF106" s="170">
        <v>1</v>
      </c>
      <c r="AG106" s="158">
        <v>1</v>
      </c>
      <c r="AH106" s="158">
        <v>1</v>
      </c>
      <c r="AI106" s="158">
        <v>1</v>
      </c>
      <c r="AJ106" s="158">
        <v>1</v>
      </c>
      <c r="AK106" s="73">
        <f t="shared" si="7"/>
        <v>57.194244604316545</v>
      </c>
      <c r="AL106" s="162"/>
      <c r="AM106" s="163"/>
      <c r="AN106" s="164"/>
      <c r="AO106" s="170" t="s">
        <v>49</v>
      </c>
      <c r="AP106" s="70">
        <f t="shared" si="8"/>
        <v>0.49</v>
      </c>
      <c r="AQ106" s="72">
        <f>IF(head!F$82="S235",235,IF(head!F$82="S275",275,IF(head!F$82="S355",355,IF(head!F$82="S420",420,460))))^0.5*head!$G$70*1000/(S106*3.1416*210000^0.5)</f>
        <v>2.6359317901044226</v>
      </c>
      <c r="AR106" s="72">
        <f t="shared" si="9"/>
        <v>4.5708714896171365</v>
      </c>
      <c r="AS106" s="72">
        <f t="shared" si="10"/>
        <v>0.12040742340384189</v>
      </c>
      <c r="AT106" s="52">
        <f>IF(head!F$82="S235",235,IF(head!F$82="S275",275,IF(head!F$82="S355",355,IF(head!F$82="S420",420,460))))*AS106*J106/1000</f>
        <v>373.31572569706367</v>
      </c>
      <c r="AU106" s="192" t="s">
        <v>47</v>
      </c>
      <c r="AV106" s="75" t="s">
        <v>47</v>
      </c>
      <c r="AW106" s="75" t="s">
        <v>47</v>
      </c>
      <c r="AX106" s="76" t="s">
        <v>47</v>
      </c>
      <c r="AY106" s="67" t="s">
        <v>47</v>
      </c>
      <c r="AZ106" s="193">
        <v>0</v>
      </c>
      <c r="BA106" s="169" t="str">
        <f t="shared" si="11"/>
        <v>CF CHS 168,3 x 5,6</v>
      </c>
      <c r="BB106" s="145"/>
    </row>
    <row r="107" spans="1:54" s="146" customFormat="1" ht="13.5" customHeight="1">
      <c r="A107" s="147" t="s">
        <v>393</v>
      </c>
      <c r="B107" s="62">
        <f t="shared" si="6"/>
        <v>159.38426590054533</v>
      </c>
      <c r="C107" s="149">
        <v>168.3</v>
      </c>
      <c r="D107" s="149"/>
      <c r="E107" s="150" t="s">
        <v>823</v>
      </c>
      <c r="F107" s="149"/>
      <c r="G107" s="149"/>
      <c r="H107" s="151">
        <v>22.469588003529022</v>
      </c>
      <c r="I107" s="152">
        <v>22.898943188309833</v>
      </c>
      <c r="J107" s="152">
        <v>2862.3678985387292</v>
      </c>
      <c r="K107" s="152">
        <v>0.5287300435991622</v>
      </c>
      <c r="L107" s="153">
        <v>9482541.823275933</v>
      </c>
      <c r="M107" s="154">
        <v>112686.17734136581</v>
      </c>
      <c r="N107" s="154">
        <v>148297.7626666665</v>
      </c>
      <c r="O107" s="155">
        <v>57.557199810275698</v>
      </c>
      <c r="P107" s="154">
        <v>9482541.823275933</v>
      </c>
      <c r="Q107" s="154">
        <v>112686.17734136581</v>
      </c>
      <c r="R107" s="154">
        <v>148297.7626666665</v>
      </c>
      <c r="S107" s="152">
        <v>57.557199810275698</v>
      </c>
      <c r="T107" s="153">
        <v>18965083.646551866</v>
      </c>
      <c r="U107" s="156"/>
      <c r="V107" s="157">
        <v>1</v>
      </c>
      <c r="W107" s="158">
        <v>1</v>
      </c>
      <c r="X107" s="158">
        <v>1</v>
      </c>
      <c r="Y107" s="158">
        <v>2</v>
      </c>
      <c r="Z107" s="158">
        <v>2</v>
      </c>
      <c r="AA107" s="159">
        <v>1</v>
      </c>
      <c r="AB107" s="158">
        <v>1</v>
      </c>
      <c r="AC107" s="158">
        <v>2</v>
      </c>
      <c r="AD107" s="158">
        <v>3</v>
      </c>
      <c r="AE107" s="160">
        <v>3</v>
      </c>
      <c r="AF107" s="170">
        <v>1</v>
      </c>
      <c r="AG107" s="158">
        <v>1</v>
      </c>
      <c r="AH107" s="158">
        <v>2</v>
      </c>
      <c r="AI107" s="158">
        <v>3</v>
      </c>
      <c r="AJ107" s="158">
        <v>3</v>
      </c>
      <c r="AK107" s="73">
        <f t="shared" si="7"/>
        <v>184.71771007112147</v>
      </c>
      <c r="AL107" s="162"/>
      <c r="AM107" s="163"/>
      <c r="AN107" s="164"/>
      <c r="AO107" s="170" t="s">
        <v>49</v>
      </c>
      <c r="AP107" s="70">
        <f t="shared" si="8"/>
        <v>0.49</v>
      </c>
      <c r="AQ107" s="72">
        <f>IF(head!F$82="S235",235,IF(head!F$82="S275",275,IF(head!F$82="S355",355,IF(head!F$82="S420",420,460))))^0.5*head!$G$70*1000/(S107*3.1416*210000^0.5)</f>
        <v>2.2738090138661922</v>
      </c>
      <c r="AR107" s="72">
        <f t="shared" si="9"/>
        <v>3.5931869241667895</v>
      </c>
      <c r="AS107" s="72">
        <f t="shared" si="10"/>
        <v>0.15685257067385774</v>
      </c>
      <c r="AT107" s="52">
        <f>IF(head!F$82="S235",235,IF(head!F$82="S275",275,IF(head!F$82="S355",355,IF(head!F$82="S420",420,460))))*AS107*J107/1000</f>
        <v>159.38426590054533</v>
      </c>
      <c r="AU107" s="192" t="s">
        <v>47</v>
      </c>
      <c r="AV107" s="75" t="s">
        <v>47</v>
      </c>
      <c r="AW107" s="75" t="s">
        <v>47</v>
      </c>
      <c r="AX107" s="76" t="s">
        <v>47</v>
      </c>
      <c r="AY107" s="67" t="s">
        <v>47</v>
      </c>
      <c r="AZ107" s="193">
        <v>0</v>
      </c>
      <c r="BA107" s="169" t="str">
        <f t="shared" si="11"/>
        <v>CF CHS 168,3 x 6,3</v>
      </c>
      <c r="BB107" s="145"/>
    </row>
    <row r="108" spans="1:54" s="146" customFormat="1" ht="13.5" customHeight="1">
      <c r="A108" s="147" t="s">
        <v>394</v>
      </c>
      <c r="B108" s="62">
        <f t="shared" si="6"/>
        <v>177.23148986045095</v>
      </c>
      <c r="C108" s="149">
        <v>168.3</v>
      </c>
      <c r="D108" s="149"/>
      <c r="E108" s="150">
        <v>6.3</v>
      </c>
      <c r="F108" s="149"/>
      <c r="G108" s="149"/>
      <c r="H108" s="151">
        <v>25.169529278691865</v>
      </c>
      <c r="I108" s="152">
        <v>25.650475698029926</v>
      </c>
      <c r="J108" s="152">
        <v>3206.309462253741</v>
      </c>
      <c r="K108" s="152">
        <v>0.5287300435991622</v>
      </c>
      <c r="L108" s="153">
        <v>10534205.493743008</v>
      </c>
      <c r="M108" s="154">
        <v>125183.66599813438</v>
      </c>
      <c r="N108" s="154">
        <v>165420.54899999988</v>
      </c>
      <c r="O108" s="155">
        <v>57.318943203796081</v>
      </c>
      <c r="P108" s="154">
        <v>10534205.493743008</v>
      </c>
      <c r="Q108" s="154">
        <v>125183.66599813438</v>
      </c>
      <c r="R108" s="154">
        <v>165420.54899999988</v>
      </c>
      <c r="S108" s="152">
        <v>57.318943203796081</v>
      </c>
      <c r="T108" s="153">
        <v>21068410.987486016</v>
      </c>
      <c r="U108" s="156"/>
      <c r="V108" s="157">
        <v>1</v>
      </c>
      <c r="W108" s="158">
        <v>1</v>
      </c>
      <c r="X108" s="158">
        <v>1</v>
      </c>
      <c r="Y108" s="158">
        <v>1</v>
      </c>
      <c r="Z108" s="158">
        <v>2</v>
      </c>
      <c r="AA108" s="159">
        <v>1</v>
      </c>
      <c r="AB108" s="158">
        <v>1</v>
      </c>
      <c r="AC108" s="158">
        <v>2</v>
      </c>
      <c r="AD108" s="158">
        <v>2</v>
      </c>
      <c r="AE108" s="160">
        <v>3</v>
      </c>
      <c r="AF108" s="170">
        <v>1</v>
      </c>
      <c r="AG108" s="158">
        <v>1</v>
      </c>
      <c r="AH108" s="158">
        <v>2</v>
      </c>
      <c r="AI108" s="158">
        <v>2</v>
      </c>
      <c r="AJ108" s="158">
        <v>3</v>
      </c>
      <c r="AK108" s="73">
        <f t="shared" si="7"/>
        <v>164.90299823633168</v>
      </c>
      <c r="AL108" s="162"/>
      <c r="AM108" s="163"/>
      <c r="AN108" s="164"/>
      <c r="AO108" s="170" t="s">
        <v>49</v>
      </c>
      <c r="AP108" s="70">
        <f t="shared" si="8"/>
        <v>0.49</v>
      </c>
      <c r="AQ108" s="72">
        <f>IF(head!F$82="S235",235,IF(head!F$82="S275",275,IF(head!F$82="S355",355,IF(head!F$82="S420",420,460))))^0.5*head!$G$70*1000/(S108*3.1416*210000^0.5)</f>
        <v>2.2832605143500779</v>
      </c>
      <c r="AR108" s="72">
        <f t="shared" si="9"/>
        <v>3.6170381142108603</v>
      </c>
      <c r="AS108" s="72">
        <f t="shared" si="10"/>
        <v>0.15570662760006906</v>
      </c>
      <c r="AT108" s="52">
        <f>IF(head!F$82="S235",235,IF(head!F$82="S275",275,IF(head!F$82="S355",355,IF(head!F$82="S420",420,460))))*AS108*J108/1000</f>
        <v>177.23148986045095</v>
      </c>
      <c r="AU108" s="192" t="s">
        <v>47</v>
      </c>
      <c r="AV108" s="75" t="s">
        <v>47</v>
      </c>
      <c r="AW108" s="75" t="s">
        <v>47</v>
      </c>
      <c r="AX108" s="76" t="s">
        <v>47</v>
      </c>
      <c r="AY108" s="67" t="s">
        <v>47</v>
      </c>
      <c r="AZ108" s="193">
        <v>0</v>
      </c>
      <c r="BA108" s="169" t="str">
        <f t="shared" si="11"/>
        <v>CF CHS 168,3 x 7,1</v>
      </c>
      <c r="BB108" s="145"/>
    </row>
    <row r="109" spans="1:54" s="146" customFormat="1" ht="13.5" customHeight="1">
      <c r="A109" s="147" t="s">
        <v>395</v>
      </c>
      <c r="B109" s="62">
        <f t="shared" si="6"/>
        <v>197.09198797900225</v>
      </c>
      <c r="C109" s="149">
        <v>168.3</v>
      </c>
      <c r="D109" s="149"/>
      <c r="E109" s="150" t="s">
        <v>825</v>
      </c>
      <c r="F109" s="149"/>
      <c r="G109" s="149"/>
      <c r="H109" s="151">
        <v>28.225582647509697</v>
      </c>
      <c r="I109" s="152">
        <v>28.764924991092684</v>
      </c>
      <c r="J109" s="152">
        <v>3595.6156238865856</v>
      </c>
      <c r="K109" s="152">
        <v>0.5287300435991622</v>
      </c>
      <c r="L109" s="153">
        <v>11701863.630145952</v>
      </c>
      <c r="M109" s="154">
        <v>139059.57968087879</v>
      </c>
      <c r="N109" s="154">
        <v>184615.92766666645</v>
      </c>
      <c r="O109" s="155">
        <v>57.048060878525945</v>
      </c>
      <c r="P109" s="154">
        <v>11701863.630145952</v>
      </c>
      <c r="Q109" s="154">
        <v>139059.57968087879</v>
      </c>
      <c r="R109" s="154">
        <v>184615.92766666645</v>
      </c>
      <c r="S109" s="152">
        <v>57.048060878525945</v>
      </c>
      <c r="T109" s="153">
        <v>23403727.260291904</v>
      </c>
      <c r="U109" s="156"/>
      <c r="V109" s="157">
        <v>1</v>
      </c>
      <c r="W109" s="158">
        <v>1</v>
      </c>
      <c r="X109" s="158">
        <v>1</v>
      </c>
      <c r="Y109" s="158">
        <v>1</v>
      </c>
      <c r="Z109" s="158">
        <v>1</v>
      </c>
      <c r="AA109" s="159">
        <v>1</v>
      </c>
      <c r="AB109" s="158">
        <v>1</v>
      </c>
      <c r="AC109" s="158">
        <v>1</v>
      </c>
      <c r="AD109" s="158">
        <v>2</v>
      </c>
      <c r="AE109" s="160">
        <v>2</v>
      </c>
      <c r="AF109" s="170">
        <v>1</v>
      </c>
      <c r="AG109" s="158">
        <v>1</v>
      </c>
      <c r="AH109" s="158">
        <v>1</v>
      </c>
      <c r="AI109" s="158">
        <v>2</v>
      </c>
      <c r="AJ109" s="158">
        <v>2</v>
      </c>
      <c r="AK109" s="73">
        <f t="shared" si="7"/>
        <v>147.04854436794483</v>
      </c>
      <c r="AL109" s="162"/>
      <c r="AM109" s="163"/>
      <c r="AN109" s="164"/>
      <c r="AO109" s="170" t="s">
        <v>49</v>
      </c>
      <c r="AP109" s="70">
        <f t="shared" si="8"/>
        <v>0.49</v>
      </c>
      <c r="AQ109" s="72">
        <f>IF(head!F$82="S235",235,IF(head!F$82="S275",275,IF(head!F$82="S355",355,IF(head!F$82="S420",420,460))))^0.5*head!$G$70*1000/(S109*3.1416*210000^0.5)</f>
        <v>2.2941021609862644</v>
      </c>
      <c r="AR109" s="72">
        <f t="shared" si="9"/>
        <v>3.6445073919625592</v>
      </c>
      <c r="AS109" s="72">
        <f t="shared" si="10"/>
        <v>0.15440713263234856</v>
      </c>
      <c r="AT109" s="52">
        <f>IF(head!F$82="S235",235,IF(head!F$82="S275",275,IF(head!F$82="S355",355,IF(head!F$82="S420",420,460))))*AS109*J109/1000</f>
        <v>197.09198797900225</v>
      </c>
      <c r="AU109" s="192" t="s">
        <v>47</v>
      </c>
      <c r="AV109" s="75" t="s">
        <v>47</v>
      </c>
      <c r="AW109" s="75" t="s">
        <v>47</v>
      </c>
      <c r="AX109" s="76" t="s">
        <v>47</v>
      </c>
      <c r="AY109" s="67" t="s">
        <v>47</v>
      </c>
      <c r="AZ109" s="193">
        <v>0</v>
      </c>
      <c r="BA109" s="169" t="str">
        <f t="shared" si="11"/>
        <v>CF CHS 168,3 x 8</v>
      </c>
      <c r="BB109" s="145"/>
    </row>
    <row r="110" spans="1:54" s="146" customFormat="1" ht="13.5" customHeight="1">
      <c r="A110" s="147" t="s">
        <v>396</v>
      </c>
      <c r="B110" s="62">
        <f t="shared" si="6"/>
        <v>218.76336365957766</v>
      </c>
      <c r="C110" s="149">
        <v>168.3</v>
      </c>
      <c r="D110" s="149"/>
      <c r="E110" s="150" t="s">
        <v>826</v>
      </c>
      <c r="F110" s="149"/>
      <c r="G110" s="149"/>
      <c r="H110" s="151">
        <v>31.625910588863864</v>
      </c>
      <c r="I110" s="152">
        <v>32.230227351708393</v>
      </c>
      <c r="J110" s="152">
        <v>4028.7784189635495</v>
      </c>
      <c r="K110" s="152">
        <v>0.5287300435991622</v>
      </c>
      <c r="L110" s="153">
        <v>12972711.832819851</v>
      </c>
      <c r="M110" s="154">
        <v>154161.7567774195</v>
      </c>
      <c r="N110" s="154">
        <v>205739.38666666663</v>
      </c>
      <c r="O110" s="155">
        <v>56.74514296395774</v>
      </c>
      <c r="P110" s="154">
        <v>12972711.832819851</v>
      </c>
      <c r="Q110" s="154">
        <v>154161.7567774195</v>
      </c>
      <c r="R110" s="154">
        <v>205739.38666666663</v>
      </c>
      <c r="S110" s="152">
        <v>56.74514296395774</v>
      </c>
      <c r="T110" s="153">
        <v>25945423.665639702</v>
      </c>
      <c r="U110" s="156"/>
      <c r="V110" s="157">
        <v>1</v>
      </c>
      <c r="W110" s="158">
        <v>1</v>
      </c>
      <c r="X110" s="158">
        <v>1</v>
      </c>
      <c r="Y110" s="158">
        <v>1</v>
      </c>
      <c r="Z110" s="158">
        <v>1</v>
      </c>
      <c r="AA110" s="159">
        <v>1</v>
      </c>
      <c r="AB110" s="158">
        <v>1</v>
      </c>
      <c r="AC110" s="158">
        <v>1</v>
      </c>
      <c r="AD110" s="158">
        <v>2</v>
      </c>
      <c r="AE110" s="160">
        <v>2</v>
      </c>
      <c r="AF110" s="170">
        <v>1</v>
      </c>
      <c r="AG110" s="158">
        <v>1</v>
      </c>
      <c r="AH110" s="158">
        <v>1</v>
      </c>
      <c r="AI110" s="158">
        <v>2</v>
      </c>
      <c r="AJ110" s="158">
        <v>2</v>
      </c>
      <c r="AK110" s="73">
        <f t="shared" si="7"/>
        <v>131.23830318153466</v>
      </c>
      <c r="AL110" s="162"/>
      <c r="AM110" s="163"/>
      <c r="AN110" s="164"/>
      <c r="AO110" s="170" t="s">
        <v>49</v>
      </c>
      <c r="AP110" s="70">
        <f t="shared" si="8"/>
        <v>0.49</v>
      </c>
      <c r="AQ110" s="72">
        <f>IF(head!F$82="S235",235,IF(head!F$82="S275",275,IF(head!F$82="S355",355,IF(head!F$82="S420",420,460))))^0.5*head!$G$70*1000/(S110*3.1416*210000^0.5)</f>
        <v>2.3063485772628747</v>
      </c>
      <c r="AR110" s="72">
        <f t="shared" si="9"/>
        <v>3.6756772813506471</v>
      </c>
      <c r="AS110" s="72">
        <f t="shared" si="10"/>
        <v>0.15295823277583273</v>
      </c>
      <c r="AT110" s="52">
        <f>IF(head!F$82="S235",235,IF(head!F$82="S275",275,IF(head!F$82="S355",355,IF(head!F$82="S420",420,460))))*AS110*J110/1000</f>
        <v>218.76336365957766</v>
      </c>
      <c r="AU110" s="192" t="s">
        <v>47</v>
      </c>
      <c r="AV110" s="75" t="s">
        <v>47</v>
      </c>
      <c r="AW110" s="75" t="s">
        <v>47</v>
      </c>
      <c r="AX110" s="76" t="s">
        <v>47</v>
      </c>
      <c r="AY110" s="67" t="s">
        <v>47</v>
      </c>
      <c r="AZ110" s="193">
        <v>0</v>
      </c>
      <c r="BA110" s="169" t="str">
        <f t="shared" si="11"/>
        <v>CF CHS 168,3 x 8,8</v>
      </c>
      <c r="BB110" s="145"/>
    </row>
    <row r="111" spans="1:54" s="146" customFormat="1" ht="13.5" customHeight="1">
      <c r="A111" s="147" t="s">
        <v>397</v>
      </c>
      <c r="B111" s="62">
        <f t="shared" si="6"/>
        <v>237.44093107993433</v>
      </c>
      <c r="C111" s="149">
        <v>168.3</v>
      </c>
      <c r="D111" s="149"/>
      <c r="E111" s="150" t="s">
        <v>827</v>
      </c>
      <c r="F111" s="149"/>
      <c r="G111" s="149"/>
      <c r="H111" s="151">
        <v>34.61488467134226</v>
      </c>
      <c r="I111" s="152">
        <v>35.276315588629053</v>
      </c>
      <c r="J111" s="152">
        <v>4409.5394485786319</v>
      </c>
      <c r="K111" s="152">
        <v>0.5287300435991622</v>
      </c>
      <c r="L111" s="153">
        <v>14065157.586450065</v>
      </c>
      <c r="M111" s="154">
        <v>167143.8810035658</v>
      </c>
      <c r="N111" s="154">
        <v>224101.35733333323</v>
      </c>
      <c r="O111" s="155">
        <v>56.477528717180974</v>
      </c>
      <c r="P111" s="154">
        <v>14065157.586450065</v>
      </c>
      <c r="Q111" s="154">
        <v>167143.8810035658</v>
      </c>
      <c r="R111" s="154">
        <v>224101.35733333323</v>
      </c>
      <c r="S111" s="152">
        <v>56.477528717180974</v>
      </c>
      <c r="T111" s="153">
        <v>28130315.172900129</v>
      </c>
      <c r="U111" s="156"/>
      <c r="V111" s="157">
        <v>1</v>
      </c>
      <c r="W111" s="158">
        <v>1</v>
      </c>
      <c r="X111" s="158">
        <v>1</v>
      </c>
      <c r="Y111" s="158">
        <v>1</v>
      </c>
      <c r="Z111" s="158">
        <v>1</v>
      </c>
      <c r="AA111" s="159">
        <v>1</v>
      </c>
      <c r="AB111" s="158">
        <v>1</v>
      </c>
      <c r="AC111" s="158">
        <v>1</v>
      </c>
      <c r="AD111" s="158">
        <v>1</v>
      </c>
      <c r="AE111" s="160">
        <v>2</v>
      </c>
      <c r="AF111" s="170">
        <v>1</v>
      </c>
      <c r="AG111" s="158">
        <v>1</v>
      </c>
      <c r="AH111" s="158">
        <v>1</v>
      </c>
      <c r="AI111" s="158">
        <v>1</v>
      </c>
      <c r="AJ111" s="158">
        <v>2</v>
      </c>
      <c r="AK111" s="73">
        <f t="shared" si="7"/>
        <v>119.90595611285272</v>
      </c>
      <c r="AL111" s="162"/>
      <c r="AM111" s="163"/>
      <c r="AN111" s="164"/>
      <c r="AO111" s="170" t="s">
        <v>49</v>
      </c>
      <c r="AP111" s="70">
        <f t="shared" si="8"/>
        <v>0.49</v>
      </c>
      <c r="AQ111" s="72">
        <f>IF(head!F$82="S235",235,IF(head!F$82="S275",275,IF(head!F$82="S355",355,IF(head!F$82="S420",420,460))))^0.5*head!$G$70*1000/(S111*3.1416*210000^0.5)</f>
        <v>2.3172770252904016</v>
      </c>
      <c r="AR111" s="72">
        <f t="shared" si="9"/>
        <v>3.7036192771655143</v>
      </c>
      <c r="AS111" s="72">
        <f t="shared" si="10"/>
        <v>0.15168198424860663</v>
      </c>
      <c r="AT111" s="52">
        <f>IF(head!F$82="S235",235,IF(head!F$82="S275",275,IF(head!F$82="S355",355,IF(head!F$82="S420",420,460))))*AS111*J111/1000</f>
        <v>237.44093107993433</v>
      </c>
      <c r="AU111" s="192" t="s">
        <v>47</v>
      </c>
      <c r="AV111" s="75" t="s">
        <v>47</v>
      </c>
      <c r="AW111" s="75" t="s">
        <v>47</v>
      </c>
      <c r="AX111" s="76" t="s">
        <v>47</v>
      </c>
      <c r="AY111" s="67" t="s">
        <v>47</v>
      </c>
      <c r="AZ111" s="193">
        <v>0</v>
      </c>
      <c r="BA111" s="169" t="str">
        <f t="shared" si="11"/>
        <v>CF CHS 168,3 x 10</v>
      </c>
      <c r="BB111" s="145"/>
    </row>
    <row r="112" spans="1:54" s="146" customFormat="1" ht="13.5" customHeight="1">
      <c r="A112" s="147" t="s">
        <v>398</v>
      </c>
      <c r="B112" s="62">
        <f t="shared" si="6"/>
        <v>264.44610961653217</v>
      </c>
      <c r="C112" s="149">
        <v>168.3</v>
      </c>
      <c r="D112" s="149"/>
      <c r="E112" s="150" t="s">
        <v>828</v>
      </c>
      <c r="F112" s="149"/>
      <c r="G112" s="149"/>
      <c r="H112" s="151">
        <v>39.039158189466242</v>
      </c>
      <c r="I112" s="152">
        <v>39.785129365061138</v>
      </c>
      <c r="J112" s="152">
        <v>4973.1411706326426</v>
      </c>
      <c r="K112" s="152">
        <v>0.5287300435991622</v>
      </c>
      <c r="L112" s="153">
        <v>15639838.958302241</v>
      </c>
      <c r="M112" s="154">
        <v>185856.67211292026</v>
      </c>
      <c r="N112" s="154">
        <v>250922.23333333331</v>
      </c>
      <c r="O112" s="155">
        <v>56.079062492163693</v>
      </c>
      <c r="P112" s="154">
        <v>15639838.958302241</v>
      </c>
      <c r="Q112" s="154">
        <v>185856.67211292026</v>
      </c>
      <c r="R112" s="154">
        <v>250922.23333333331</v>
      </c>
      <c r="S112" s="152">
        <v>56.079062492163693</v>
      </c>
      <c r="T112" s="153">
        <v>31279677.916604482</v>
      </c>
      <c r="U112" s="156"/>
      <c r="V112" s="157">
        <v>1</v>
      </c>
      <c r="W112" s="158">
        <v>1</v>
      </c>
      <c r="X112" s="158">
        <v>1</v>
      </c>
      <c r="Y112" s="158">
        <v>1</v>
      </c>
      <c r="Z112" s="158">
        <v>1</v>
      </c>
      <c r="AA112" s="159">
        <v>1</v>
      </c>
      <c r="AB112" s="158">
        <v>1</v>
      </c>
      <c r="AC112" s="158">
        <v>1</v>
      </c>
      <c r="AD112" s="158">
        <v>1</v>
      </c>
      <c r="AE112" s="160">
        <v>1</v>
      </c>
      <c r="AF112" s="170">
        <v>1</v>
      </c>
      <c r="AG112" s="158">
        <v>1</v>
      </c>
      <c r="AH112" s="158">
        <v>1</v>
      </c>
      <c r="AI112" s="158">
        <v>1</v>
      </c>
      <c r="AJ112" s="158">
        <v>1</v>
      </c>
      <c r="AK112" s="73">
        <f t="shared" si="7"/>
        <v>106.31711939355654</v>
      </c>
      <c r="AL112" s="162"/>
      <c r="AM112" s="163"/>
      <c r="AN112" s="164"/>
      <c r="AO112" s="170" t="s">
        <v>49</v>
      </c>
      <c r="AP112" s="70">
        <f t="shared" si="8"/>
        <v>0.49</v>
      </c>
      <c r="AQ112" s="72">
        <f>IF(head!F$82="S235",235,IF(head!F$82="S275",275,IF(head!F$82="S355",355,IF(head!F$82="S420",420,460))))^0.5*head!$G$70*1000/(S112*3.1416*210000^0.5)</f>
        <v>2.33374229035641</v>
      </c>
      <c r="AR112" s="72">
        <f t="shared" si="9"/>
        <v>3.7459434000363117</v>
      </c>
      <c r="AS112" s="72">
        <f t="shared" si="10"/>
        <v>0.1497883516834404</v>
      </c>
      <c r="AT112" s="52">
        <f>IF(head!F$82="S235",235,IF(head!F$82="S275",275,IF(head!F$82="S355",355,IF(head!F$82="S420",420,460))))*AS112*J112/1000</f>
        <v>264.44610961653217</v>
      </c>
      <c r="AU112" s="192" t="s">
        <v>47</v>
      </c>
      <c r="AV112" s="75" t="s">
        <v>47</v>
      </c>
      <c r="AW112" s="75" t="s">
        <v>47</v>
      </c>
      <c r="AX112" s="76" t="s">
        <v>47</v>
      </c>
      <c r="AY112" s="67" t="s">
        <v>47</v>
      </c>
      <c r="AZ112" s="193">
        <v>0</v>
      </c>
      <c r="BA112" s="169" t="str">
        <f t="shared" si="11"/>
        <v>CF CHS 168,3 x 12,5</v>
      </c>
      <c r="BB112" s="145"/>
    </row>
    <row r="113" spans="1:54" s="146" customFormat="1" ht="13.5" customHeight="1">
      <c r="A113" s="147" t="s">
        <v>399</v>
      </c>
      <c r="B113" s="62">
        <f t="shared" si="6"/>
        <v>316.94426846929116</v>
      </c>
      <c r="C113" s="149">
        <v>168.3</v>
      </c>
      <c r="D113" s="149"/>
      <c r="E113" s="150" t="s">
        <v>829</v>
      </c>
      <c r="F113" s="149"/>
      <c r="G113" s="149"/>
      <c r="H113" s="151">
        <v>48.028275788999053</v>
      </c>
      <c r="I113" s="152">
        <v>48.946013542928974</v>
      </c>
      <c r="J113" s="152">
        <v>6118.2516928661225</v>
      </c>
      <c r="K113" s="152">
        <v>0.5287300435991622</v>
      </c>
      <c r="L113" s="153">
        <v>18683526.981129147</v>
      </c>
      <c r="M113" s="154">
        <v>222026.4644222121</v>
      </c>
      <c r="N113" s="154">
        <v>304071.54166666669</v>
      </c>
      <c r="O113" s="155">
        <v>55.26062115105114</v>
      </c>
      <c r="P113" s="154">
        <v>18683526.981129147</v>
      </c>
      <c r="Q113" s="154">
        <v>222026.4644222121</v>
      </c>
      <c r="R113" s="154">
        <v>304071.54166666669</v>
      </c>
      <c r="S113" s="152">
        <v>55.26062115105114</v>
      </c>
      <c r="T113" s="153">
        <v>37367053.962258294</v>
      </c>
      <c r="U113" s="156"/>
      <c r="V113" s="157">
        <v>1</v>
      </c>
      <c r="W113" s="158">
        <v>1</v>
      </c>
      <c r="X113" s="158">
        <v>1</v>
      </c>
      <c r="Y113" s="158">
        <v>1</v>
      </c>
      <c r="Z113" s="158">
        <v>1</v>
      </c>
      <c r="AA113" s="159">
        <v>1</v>
      </c>
      <c r="AB113" s="158">
        <v>1</v>
      </c>
      <c r="AC113" s="158">
        <v>1</v>
      </c>
      <c r="AD113" s="158">
        <v>1</v>
      </c>
      <c r="AE113" s="160">
        <v>1</v>
      </c>
      <c r="AF113" s="170">
        <v>1</v>
      </c>
      <c r="AG113" s="158">
        <v>1</v>
      </c>
      <c r="AH113" s="158">
        <v>1</v>
      </c>
      <c r="AI113" s="158">
        <v>1</v>
      </c>
      <c r="AJ113" s="158">
        <v>1</v>
      </c>
      <c r="AK113" s="73">
        <f t="shared" si="7"/>
        <v>86.418485237483949</v>
      </c>
      <c r="AL113" s="162"/>
      <c r="AM113" s="163"/>
      <c r="AN113" s="164"/>
      <c r="AO113" s="170" t="s">
        <v>49</v>
      </c>
      <c r="AP113" s="70">
        <f t="shared" si="8"/>
        <v>0.49</v>
      </c>
      <c r="AQ113" s="72">
        <f>IF(head!F$82="S235",235,IF(head!F$82="S275",275,IF(head!F$82="S355",355,IF(head!F$82="S420",420,460))))^0.5*head!$G$70*1000/(S113*3.1416*210000^0.5)</f>
        <v>2.3683063457388038</v>
      </c>
      <c r="AR113" s="72">
        <f t="shared" si="9"/>
        <v>3.8356725283393502</v>
      </c>
      <c r="AS113" s="72">
        <f t="shared" si="10"/>
        <v>0.14592416282784337</v>
      </c>
      <c r="AT113" s="52">
        <f>IF(head!F$82="S235",235,IF(head!F$82="S275",275,IF(head!F$82="S355",355,IF(head!F$82="S420",420,460))))*AS113*J113/1000</f>
        <v>316.94426846929116</v>
      </c>
      <c r="AU113" s="192" t="s">
        <v>47</v>
      </c>
      <c r="AV113" s="75" t="s">
        <v>47</v>
      </c>
      <c r="AW113" s="75" t="s">
        <v>47</v>
      </c>
      <c r="AX113" s="76" t="s">
        <v>47</v>
      </c>
      <c r="AY113" s="67" t="s">
        <v>47</v>
      </c>
      <c r="AZ113" s="193">
        <v>0</v>
      </c>
      <c r="BA113" s="169" t="str">
        <f t="shared" si="11"/>
        <v>CF CHS 168,3 x 14,2</v>
      </c>
      <c r="BB113" s="145"/>
    </row>
    <row r="114" spans="1:54" s="146" customFormat="1" ht="13.5" customHeight="1">
      <c r="A114" s="147" t="s">
        <v>400</v>
      </c>
      <c r="B114" s="62">
        <f t="shared" si="6"/>
        <v>349.8618700361726</v>
      </c>
      <c r="C114" s="149">
        <v>168.3</v>
      </c>
      <c r="D114" s="149"/>
      <c r="E114" s="150" t="s">
        <v>830</v>
      </c>
      <c r="F114" s="149"/>
      <c r="G114" s="149"/>
      <c r="H114" s="151">
        <v>53.964792630040321</v>
      </c>
      <c r="I114" s="152">
        <v>54.99596701150606</v>
      </c>
      <c r="J114" s="152">
        <v>6874.4958764382582</v>
      </c>
      <c r="K114" s="152">
        <v>0.5287300435991622</v>
      </c>
      <c r="L114" s="153">
        <v>20579190.09651098</v>
      </c>
      <c r="M114" s="154">
        <v>244553.65533584051</v>
      </c>
      <c r="N114" s="154">
        <v>338159.13133333332</v>
      </c>
      <c r="O114" s="155">
        <v>54.713401009259151</v>
      </c>
      <c r="P114" s="154">
        <v>20579190.09651098</v>
      </c>
      <c r="Q114" s="154">
        <v>244553.65533584051</v>
      </c>
      <c r="R114" s="154">
        <v>338159.13133333332</v>
      </c>
      <c r="S114" s="152">
        <v>54.713401009259151</v>
      </c>
      <c r="T114" s="153">
        <v>41158380.193021961</v>
      </c>
      <c r="U114" s="156"/>
      <c r="V114" s="157">
        <v>1</v>
      </c>
      <c r="W114" s="158">
        <v>1</v>
      </c>
      <c r="X114" s="158">
        <v>1</v>
      </c>
      <c r="Y114" s="158">
        <v>1</v>
      </c>
      <c r="Z114" s="158">
        <v>1</v>
      </c>
      <c r="AA114" s="159">
        <v>1</v>
      </c>
      <c r="AB114" s="158">
        <v>1</v>
      </c>
      <c r="AC114" s="158">
        <v>1</v>
      </c>
      <c r="AD114" s="158">
        <v>1</v>
      </c>
      <c r="AE114" s="160">
        <v>1</v>
      </c>
      <c r="AF114" s="170">
        <v>1</v>
      </c>
      <c r="AG114" s="158">
        <v>1</v>
      </c>
      <c r="AH114" s="158">
        <v>1</v>
      </c>
      <c r="AI114" s="158">
        <v>1</v>
      </c>
      <c r="AJ114" s="158">
        <v>1</v>
      </c>
      <c r="AK114" s="73">
        <f t="shared" si="7"/>
        <v>76.911827878366879</v>
      </c>
      <c r="AL114" s="162"/>
      <c r="AM114" s="163"/>
      <c r="AN114" s="164"/>
      <c r="AO114" s="170" t="s">
        <v>49</v>
      </c>
      <c r="AP114" s="70">
        <f t="shared" si="8"/>
        <v>0.49</v>
      </c>
      <c r="AQ114" s="72">
        <f>IF(head!F$82="S235",235,IF(head!F$82="S275",275,IF(head!F$82="S355",355,IF(head!F$82="S420",420,460))))^0.5*head!$G$70*1000/(S114*3.1416*210000^0.5)</f>
        <v>2.3919931374647048</v>
      </c>
      <c r="AR114" s="72">
        <f t="shared" si="9"/>
        <v>3.8978539035179733</v>
      </c>
      <c r="AS114" s="72">
        <f t="shared" si="10"/>
        <v>0.14335980589440728</v>
      </c>
      <c r="AT114" s="52">
        <f>IF(head!F$82="S235",235,IF(head!F$82="S275",275,IF(head!F$82="S355",355,IF(head!F$82="S420",420,460))))*AS114*J114/1000</f>
        <v>349.8618700361726</v>
      </c>
      <c r="AU114" s="192" t="s">
        <v>47</v>
      </c>
      <c r="AV114" s="75" t="s">
        <v>47</v>
      </c>
      <c r="AW114" s="75" t="s">
        <v>47</v>
      </c>
      <c r="AX114" s="76" t="s">
        <v>47</v>
      </c>
      <c r="AY114" s="67" t="s">
        <v>47</v>
      </c>
      <c r="AZ114" s="193">
        <v>0</v>
      </c>
      <c r="BA114" s="169" t="str">
        <f t="shared" si="11"/>
        <v>CF CHS 168,3 x 16</v>
      </c>
      <c r="BB114" s="145"/>
    </row>
    <row r="115" spans="1:54" s="146" customFormat="1" ht="13.5" customHeight="1">
      <c r="A115" s="147" t="s">
        <v>401</v>
      </c>
      <c r="B115" s="62">
        <f t="shared" si="6"/>
        <v>382.38087627803407</v>
      </c>
      <c r="C115" s="149">
        <v>168.3</v>
      </c>
      <c r="D115" s="149"/>
      <c r="E115" s="150" t="s">
        <v>831</v>
      </c>
      <c r="F115" s="149"/>
      <c r="G115" s="149"/>
      <c r="H115" s="151">
        <v>60.095148879400725</v>
      </c>
      <c r="I115" s="152">
        <v>61.243463826140868</v>
      </c>
      <c r="J115" s="152">
        <v>7655.4329782676086</v>
      </c>
      <c r="K115" s="152">
        <v>0.5287300435991622</v>
      </c>
      <c r="L115" s="153">
        <v>22441222.356114678</v>
      </c>
      <c r="M115" s="154">
        <v>266681.19258603296</v>
      </c>
      <c r="N115" s="154">
        <v>372489.97333333339</v>
      </c>
      <c r="O115" s="155">
        <v>54.142508715426189</v>
      </c>
      <c r="P115" s="154">
        <v>22441222.356114678</v>
      </c>
      <c r="Q115" s="154">
        <v>266681.19258603296</v>
      </c>
      <c r="R115" s="154">
        <v>372489.97333333339</v>
      </c>
      <c r="S115" s="152">
        <v>54.142508715426189</v>
      </c>
      <c r="T115" s="153">
        <v>44882444.712229356</v>
      </c>
      <c r="U115" s="156"/>
      <c r="V115" s="157">
        <v>1</v>
      </c>
      <c r="W115" s="158">
        <v>1</v>
      </c>
      <c r="X115" s="158">
        <v>1</v>
      </c>
      <c r="Y115" s="158">
        <v>1</v>
      </c>
      <c r="Z115" s="158">
        <v>1</v>
      </c>
      <c r="AA115" s="159">
        <v>1</v>
      </c>
      <c r="AB115" s="158">
        <v>1</v>
      </c>
      <c r="AC115" s="158">
        <v>1</v>
      </c>
      <c r="AD115" s="158">
        <v>1</v>
      </c>
      <c r="AE115" s="160">
        <v>1</v>
      </c>
      <c r="AF115" s="170">
        <v>1</v>
      </c>
      <c r="AG115" s="158">
        <v>1</v>
      </c>
      <c r="AH115" s="158">
        <v>1</v>
      </c>
      <c r="AI115" s="158">
        <v>1</v>
      </c>
      <c r="AJ115" s="158">
        <v>1</v>
      </c>
      <c r="AK115" s="73">
        <f t="shared" si="7"/>
        <v>69.065988181221272</v>
      </c>
      <c r="AL115" s="162"/>
      <c r="AM115" s="163"/>
      <c r="AN115" s="164"/>
      <c r="AO115" s="170" t="s">
        <v>49</v>
      </c>
      <c r="AP115" s="70">
        <f t="shared" si="8"/>
        <v>0.49</v>
      </c>
      <c r="AQ115" s="72">
        <f>IF(head!F$82="S235",235,IF(head!F$82="S275",275,IF(head!F$82="S355",355,IF(head!F$82="S420",420,460))))^0.5*head!$G$70*1000/(S115*3.1416*210000^0.5)</f>
        <v>2.4172149175683457</v>
      </c>
      <c r="AR115" s="72">
        <f t="shared" si="9"/>
        <v>3.9646816336617166</v>
      </c>
      <c r="AS115" s="72">
        <f t="shared" si="10"/>
        <v>0.14070128130048085</v>
      </c>
      <c r="AT115" s="52">
        <f>IF(head!F$82="S235",235,IF(head!F$82="S275",275,IF(head!F$82="S355",355,IF(head!F$82="S420",420,460))))*AS115*J115/1000</f>
        <v>382.38087627803407</v>
      </c>
      <c r="AU115" s="192" t="s">
        <v>47</v>
      </c>
      <c r="AV115" s="75" t="s">
        <v>47</v>
      </c>
      <c r="AW115" s="75" t="s">
        <v>47</v>
      </c>
      <c r="AX115" s="76" t="s">
        <v>47</v>
      </c>
      <c r="AY115" s="67" t="s">
        <v>47</v>
      </c>
      <c r="AZ115" s="193">
        <v>0</v>
      </c>
      <c r="BA115" s="169" t="str">
        <f t="shared" si="11"/>
        <v>CF CHS 168,3 x 20</v>
      </c>
      <c r="BB115" s="145"/>
    </row>
    <row r="116" spans="1:54" s="146" customFormat="1" ht="13.5" customHeight="1">
      <c r="A116" s="147" t="s">
        <v>402</v>
      </c>
      <c r="B116" s="62">
        <f t="shared" si="6"/>
        <v>446.58294535373614</v>
      </c>
      <c r="C116" s="149">
        <v>168.3</v>
      </c>
      <c r="D116" s="149"/>
      <c r="E116" s="150" t="s">
        <v>833</v>
      </c>
      <c r="F116" s="149"/>
      <c r="G116" s="149"/>
      <c r="H116" s="151">
        <v>73.146015912796514</v>
      </c>
      <c r="I116" s="152">
        <v>74.543710484378607</v>
      </c>
      <c r="J116" s="152">
        <v>9317.9638105473259</v>
      </c>
      <c r="K116" s="152">
        <v>0.5287300435991622</v>
      </c>
      <c r="L116" s="153">
        <v>26082017.329195898</v>
      </c>
      <c r="M116" s="154">
        <v>309946.72999638616</v>
      </c>
      <c r="N116" s="154">
        <v>442524.46666666673</v>
      </c>
      <c r="O116" s="155">
        <v>52.906627656655651</v>
      </c>
      <c r="P116" s="154">
        <v>26082017.329195898</v>
      </c>
      <c r="Q116" s="154">
        <v>309946.72999638616</v>
      </c>
      <c r="R116" s="154">
        <v>442524.46666666673</v>
      </c>
      <c r="S116" s="152">
        <v>52.906627656655651</v>
      </c>
      <c r="T116" s="153">
        <v>52164034.658391796</v>
      </c>
      <c r="U116" s="156"/>
      <c r="V116" s="157">
        <v>1</v>
      </c>
      <c r="W116" s="158">
        <v>1</v>
      </c>
      <c r="X116" s="158">
        <v>1</v>
      </c>
      <c r="Y116" s="158">
        <v>1</v>
      </c>
      <c r="Z116" s="158">
        <v>1</v>
      </c>
      <c r="AA116" s="159">
        <v>1</v>
      </c>
      <c r="AB116" s="158">
        <v>1</v>
      </c>
      <c r="AC116" s="158">
        <v>1</v>
      </c>
      <c r="AD116" s="158">
        <v>1</v>
      </c>
      <c r="AE116" s="160">
        <v>1</v>
      </c>
      <c r="AF116" s="170">
        <v>1</v>
      </c>
      <c r="AG116" s="158">
        <v>1</v>
      </c>
      <c r="AH116" s="158">
        <v>1</v>
      </c>
      <c r="AI116" s="158">
        <v>1</v>
      </c>
      <c r="AJ116" s="158">
        <v>1</v>
      </c>
      <c r="AK116" s="73">
        <f t="shared" si="7"/>
        <v>56.743088334457191</v>
      </c>
      <c r="AL116" s="162"/>
      <c r="AM116" s="163"/>
      <c r="AN116" s="164"/>
      <c r="AO116" s="170" t="s">
        <v>49</v>
      </c>
      <c r="AP116" s="70">
        <f t="shared" si="8"/>
        <v>0.49</v>
      </c>
      <c r="AQ116" s="72">
        <f>IF(head!F$82="S235",235,IF(head!F$82="S275",275,IF(head!F$82="S355",355,IF(head!F$82="S420",420,460))))^0.5*head!$G$70*1000/(S116*3.1416*210000^0.5)</f>
        <v>2.4736802464679188</v>
      </c>
      <c r="AR116" s="72">
        <f t="shared" si="9"/>
        <v>4.1165986412674318</v>
      </c>
      <c r="AS116" s="72">
        <f t="shared" si="10"/>
        <v>0.13500590400802501</v>
      </c>
      <c r="AT116" s="52">
        <f>IF(head!F$82="S235",235,IF(head!F$82="S275",275,IF(head!F$82="S355",355,IF(head!F$82="S420",420,460))))*AS116*J116/1000</f>
        <v>446.58294535373614</v>
      </c>
      <c r="AU116" s="192" t="s">
        <v>47</v>
      </c>
      <c r="AV116" s="75" t="s">
        <v>47</v>
      </c>
      <c r="AW116" s="75" t="s">
        <v>47</v>
      </c>
      <c r="AX116" s="76" t="s">
        <v>47</v>
      </c>
      <c r="AY116" s="67" t="s">
        <v>47</v>
      </c>
      <c r="AZ116" s="193">
        <v>0</v>
      </c>
      <c r="BA116" s="169" t="str">
        <f t="shared" si="11"/>
        <v>CF CHS 177,8 x 5</v>
      </c>
      <c r="BB116" s="145"/>
    </row>
    <row r="117" spans="1:54" s="146" customFormat="1" ht="13.5" customHeight="1">
      <c r="A117" s="147" t="s">
        <v>241</v>
      </c>
      <c r="B117" s="62">
        <f t="shared" si="6"/>
        <v>167.95744789007415</v>
      </c>
      <c r="C117" s="149">
        <v>177.8</v>
      </c>
      <c r="D117" s="149"/>
      <c r="E117" s="150">
        <v>5</v>
      </c>
      <c r="F117" s="149"/>
      <c r="G117" s="149"/>
      <c r="H117" s="151">
        <v>21.307538013707411</v>
      </c>
      <c r="I117" s="152">
        <v>21.714688421612649</v>
      </c>
      <c r="J117" s="152">
        <v>2714.3360527015811</v>
      </c>
      <c r="K117" s="152">
        <v>0.55857517380826527</v>
      </c>
      <c r="L117" s="153">
        <v>10139687.330152292</v>
      </c>
      <c r="M117" s="154">
        <v>114057.22531104939</v>
      </c>
      <c r="N117" s="154">
        <v>149340.8666666667</v>
      </c>
      <c r="O117" s="155">
        <v>61.119595875627326</v>
      </c>
      <c r="P117" s="154">
        <v>10139687.330152292</v>
      </c>
      <c r="Q117" s="154">
        <v>114057.22531104939</v>
      </c>
      <c r="R117" s="154">
        <v>149340.8666666667</v>
      </c>
      <c r="S117" s="152">
        <v>61.119595875627326</v>
      </c>
      <c r="T117" s="153">
        <v>20279374.660304584</v>
      </c>
      <c r="U117" s="156"/>
      <c r="V117" s="157">
        <v>1</v>
      </c>
      <c r="W117" s="158">
        <v>1</v>
      </c>
      <c r="X117" s="158">
        <v>2</v>
      </c>
      <c r="Y117" s="158">
        <v>2</v>
      </c>
      <c r="Z117" s="158">
        <v>2</v>
      </c>
      <c r="AA117" s="159">
        <v>1</v>
      </c>
      <c r="AB117" s="158">
        <v>2</v>
      </c>
      <c r="AC117" s="158">
        <v>3</v>
      </c>
      <c r="AD117" s="158">
        <v>3</v>
      </c>
      <c r="AE117" s="160">
        <v>4</v>
      </c>
      <c r="AF117" s="170">
        <v>1</v>
      </c>
      <c r="AG117" s="158">
        <v>2</v>
      </c>
      <c r="AH117" s="158">
        <v>3</v>
      </c>
      <c r="AI117" s="158">
        <v>3</v>
      </c>
      <c r="AJ117" s="158">
        <v>4</v>
      </c>
      <c r="AK117" s="73">
        <f t="shared" si="7"/>
        <v>205.78703703703707</v>
      </c>
      <c r="AL117" s="162"/>
      <c r="AM117" s="163"/>
      <c r="AN117" s="164"/>
      <c r="AO117" s="170" t="s">
        <v>49</v>
      </c>
      <c r="AP117" s="70">
        <f t="shared" si="8"/>
        <v>0.49</v>
      </c>
      <c r="AQ117" s="72">
        <f>IF(head!F$82="S235",235,IF(head!F$82="S275",275,IF(head!F$82="S355",355,IF(head!F$82="S420",420,460))))^0.5*head!$G$70*1000/(S117*3.1416*210000^0.5)</f>
        <v>2.1412785517728046</v>
      </c>
      <c r="AR117" s="72">
        <f t="shared" si="9"/>
        <v>3.2681501633254566</v>
      </c>
      <c r="AS117" s="72">
        <f t="shared" si="10"/>
        <v>0.17430397796560204</v>
      </c>
      <c r="AT117" s="52">
        <f>IF(head!F$82="S235",235,IF(head!F$82="S275",275,IF(head!F$82="S355",355,IF(head!F$82="S420",420,460))))*AS117*J117/1000</f>
        <v>167.95744789007415</v>
      </c>
      <c r="AU117" s="192" t="s">
        <v>47</v>
      </c>
      <c r="AV117" s="75" t="s">
        <v>47</v>
      </c>
      <c r="AW117" s="75" t="s">
        <v>47</v>
      </c>
      <c r="AX117" s="76" t="s">
        <v>47</v>
      </c>
      <c r="AY117" s="67" t="s">
        <v>47</v>
      </c>
      <c r="AZ117" s="193">
        <v>0</v>
      </c>
      <c r="BA117" s="169" t="str">
        <f t="shared" si="11"/>
        <v>CF CHS 177,8 x 6,3</v>
      </c>
      <c r="BB117" s="145"/>
    </row>
    <row r="118" spans="1:54" s="146" customFormat="1" ht="13.5" customHeight="1">
      <c r="A118" s="147" t="s">
        <v>403</v>
      </c>
      <c r="B118" s="62">
        <f t="shared" si="6"/>
        <v>207.37387870027885</v>
      </c>
      <c r="C118" s="149">
        <v>177.8</v>
      </c>
      <c r="D118" s="149"/>
      <c r="E118" s="150" t="s">
        <v>824</v>
      </c>
      <c r="F118" s="149"/>
      <c r="G118" s="149"/>
      <c r="H118" s="151">
        <v>26.645520193183067</v>
      </c>
      <c r="I118" s="152">
        <v>27.154670260568732</v>
      </c>
      <c r="J118" s="152">
        <v>3394.3337825710914</v>
      </c>
      <c r="K118" s="152">
        <v>0.55857517380826527</v>
      </c>
      <c r="L118" s="153">
        <v>12496214.363032106</v>
      </c>
      <c r="M118" s="154">
        <v>140564.8409789888</v>
      </c>
      <c r="N118" s="154">
        <v>185380.52400000006</v>
      </c>
      <c r="O118" s="155">
        <v>60.675303872333437</v>
      </c>
      <c r="P118" s="154">
        <v>12496214.363032106</v>
      </c>
      <c r="Q118" s="154">
        <v>140564.8409789888</v>
      </c>
      <c r="R118" s="154">
        <v>185380.52400000006</v>
      </c>
      <c r="S118" s="152">
        <v>60.675303872333437</v>
      </c>
      <c r="T118" s="153">
        <v>24992428.726064213</v>
      </c>
      <c r="U118" s="156"/>
      <c r="V118" s="157">
        <v>1</v>
      </c>
      <c r="W118" s="158">
        <v>1</v>
      </c>
      <c r="X118" s="158">
        <v>1</v>
      </c>
      <c r="Y118" s="158">
        <v>2</v>
      </c>
      <c r="Z118" s="158">
        <v>2</v>
      </c>
      <c r="AA118" s="159">
        <v>1</v>
      </c>
      <c r="AB118" s="158">
        <v>1</v>
      </c>
      <c r="AC118" s="158">
        <v>2</v>
      </c>
      <c r="AD118" s="158">
        <v>2</v>
      </c>
      <c r="AE118" s="160">
        <v>3</v>
      </c>
      <c r="AF118" s="170">
        <v>1</v>
      </c>
      <c r="AG118" s="158">
        <v>1</v>
      </c>
      <c r="AH118" s="158">
        <v>2</v>
      </c>
      <c r="AI118" s="158">
        <v>2</v>
      </c>
      <c r="AJ118" s="158">
        <v>3</v>
      </c>
      <c r="AK118" s="73">
        <f t="shared" si="7"/>
        <v>164.56106252024625</v>
      </c>
      <c r="AL118" s="162"/>
      <c r="AM118" s="163"/>
      <c r="AN118" s="164"/>
      <c r="AO118" s="170" t="s">
        <v>49</v>
      </c>
      <c r="AP118" s="70">
        <f t="shared" si="8"/>
        <v>0.49</v>
      </c>
      <c r="AQ118" s="72">
        <f>IF(head!F$82="S235",235,IF(head!F$82="S275",275,IF(head!F$82="S355",355,IF(head!F$82="S420",420,460))))^0.5*head!$G$70*1000/(S118*3.1416*210000^0.5)</f>
        <v>2.1569579612963086</v>
      </c>
      <c r="AR118" s="72">
        <f t="shared" si="9"/>
        <v>3.3056885239173592</v>
      </c>
      <c r="AS118" s="72">
        <f t="shared" si="10"/>
        <v>0.17209614858330935</v>
      </c>
      <c r="AT118" s="52">
        <f>IF(head!F$82="S235",235,IF(head!F$82="S275",275,IF(head!F$82="S355",355,IF(head!F$82="S420",420,460))))*AS118*J118/1000</f>
        <v>207.37387870027885</v>
      </c>
      <c r="AU118" s="192" t="s">
        <v>47</v>
      </c>
      <c r="AV118" s="75" t="s">
        <v>47</v>
      </c>
      <c r="AW118" s="75" t="s">
        <v>47</v>
      </c>
      <c r="AX118" s="76" t="s">
        <v>47</v>
      </c>
      <c r="AY118" s="67" t="s">
        <v>47</v>
      </c>
      <c r="AZ118" s="193">
        <v>0</v>
      </c>
      <c r="BA118" s="169" t="str">
        <f t="shared" si="11"/>
        <v>CF CHS 177,8 x 8</v>
      </c>
      <c r="BB118" s="145"/>
    </row>
    <row r="119" spans="1:54" s="146" customFormat="1" ht="13.5" customHeight="1">
      <c r="A119" s="147" t="s">
        <v>404</v>
      </c>
      <c r="B119" s="62">
        <f t="shared" si="6"/>
        <v>256.40974058600204</v>
      </c>
      <c r="C119" s="149">
        <v>177.8</v>
      </c>
      <c r="D119" s="149"/>
      <c r="E119" s="150" t="s">
        <v>826</v>
      </c>
      <c r="F119" s="149"/>
      <c r="G119" s="149"/>
      <c r="H119" s="151">
        <v>33.500184765995527</v>
      </c>
      <c r="I119" s="152">
        <v>34.140315685090982</v>
      </c>
      <c r="J119" s="152">
        <v>4267.5394606363734</v>
      </c>
      <c r="K119" s="152">
        <v>0.55857517380826527</v>
      </c>
      <c r="L119" s="153">
        <v>15414373.869515892</v>
      </c>
      <c r="M119" s="154">
        <v>173390.032278019</v>
      </c>
      <c r="N119" s="154">
        <v>230826.98666666663</v>
      </c>
      <c r="O119" s="155">
        <v>60.09995840264785</v>
      </c>
      <c r="P119" s="154">
        <v>15414373.869515892</v>
      </c>
      <c r="Q119" s="154">
        <v>173390.032278019</v>
      </c>
      <c r="R119" s="154">
        <v>230826.98666666663</v>
      </c>
      <c r="S119" s="152">
        <v>60.09995840264785</v>
      </c>
      <c r="T119" s="153">
        <v>30828747.739031784</v>
      </c>
      <c r="U119" s="156"/>
      <c r="V119" s="157">
        <v>1</v>
      </c>
      <c r="W119" s="158">
        <v>1</v>
      </c>
      <c r="X119" s="158">
        <v>1</v>
      </c>
      <c r="Y119" s="158">
        <v>1</v>
      </c>
      <c r="Z119" s="158">
        <v>1</v>
      </c>
      <c r="AA119" s="159">
        <v>1</v>
      </c>
      <c r="AB119" s="158">
        <v>1</v>
      </c>
      <c r="AC119" s="158">
        <v>1</v>
      </c>
      <c r="AD119" s="158">
        <v>2</v>
      </c>
      <c r="AE119" s="160">
        <v>2</v>
      </c>
      <c r="AF119" s="170">
        <v>1</v>
      </c>
      <c r="AG119" s="158">
        <v>1</v>
      </c>
      <c r="AH119" s="158">
        <v>1</v>
      </c>
      <c r="AI119" s="158">
        <v>2</v>
      </c>
      <c r="AJ119" s="158">
        <v>2</v>
      </c>
      <c r="AK119" s="73">
        <f t="shared" si="7"/>
        <v>130.88928150765614</v>
      </c>
      <c r="AL119" s="162"/>
      <c r="AM119" s="163"/>
      <c r="AN119" s="164"/>
      <c r="AO119" s="170" t="s">
        <v>49</v>
      </c>
      <c r="AP119" s="70">
        <f t="shared" si="8"/>
        <v>0.49</v>
      </c>
      <c r="AQ119" s="72">
        <f>IF(head!F$82="S235",235,IF(head!F$82="S275",275,IF(head!F$82="S355",355,IF(head!F$82="S420",420,460))))^0.5*head!$G$70*1000/(S119*3.1416*210000^0.5)</f>
        <v>2.177606827357411</v>
      </c>
      <c r="AR119" s="72">
        <f t="shared" si="9"/>
        <v>3.3554994199793704</v>
      </c>
      <c r="AS119" s="72">
        <f t="shared" si="10"/>
        <v>0.16924997789932159</v>
      </c>
      <c r="AT119" s="52">
        <f>IF(head!F$82="S235",235,IF(head!F$82="S275",275,IF(head!F$82="S355",355,IF(head!F$82="S420",420,460))))*AS119*J119/1000</f>
        <v>256.40974058600204</v>
      </c>
      <c r="AU119" s="192" t="s">
        <v>47</v>
      </c>
      <c r="AV119" s="75" t="s">
        <v>47</v>
      </c>
      <c r="AW119" s="75" t="s">
        <v>47</v>
      </c>
      <c r="AX119" s="76" t="s">
        <v>47</v>
      </c>
      <c r="AY119" s="67" t="s">
        <v>47</v>
      </c>
      <c r="AZ119" s="193">
        <v>0</v>
      </c>
      <c r="BA119" s="169" t="str">
        <f t="shared" si="11"/>
        <v>CF CHS 177,8 x 8,8</v>
      </c>
      <c r="BB119" s="145"/>
    </row>
    <row r="120" spans="1:54" s="146" customFormat="1" ht="13.5" customHeight="1">
      <c r="A120" s="147" t="s">
        <v>405</v>
      </c>
      <c r="B120" s="62">
        <f t="shared" si="6"/>
        <v>278.52729939259899</v>
      </c>
      <c r="C120" s="149">
        <v>177.8</v>
      </c>
      <c r="D120" s="149"/>
      <c r="E120" s="150" t="s">
        <v>827</v>
      </c>
      <c r="F120" s="149"/>
      <c r="G120" s="149"/>
      <c r="H120" s="151">
        <v>36.676586266187108</v>
      </c>
      <c r="I120" s="152">
        <v>37.377412755349916</v>
      </c>
      <c r="J120" s="152">
        <v>4672.17659441874</v>
      </c>
      <c r="K120" s="152">
        <v>0.55857517380826527</v>
      </c>
      <c r="L120" s="153">
        <v>16725481.133583177</v>
      </c>
      <c r="M120" s="154">
        <v>188138.14548462516</v>
      </c>
      <c r="N120" s="154">
        <v>251563.95733333341</v>
      </c>
      <c r="O120" s="155">
        <v>59.831471651631631</v>
      </c>
      <c r="P120" s="154">
        <v>16725481.133583177</v>
      </c>
      <c r="Q120" s="154">
        <v>188138.14548462516</v>
      </c>
      <c r="R120" s="154">
        <v>251563.95733333341</v>
      </c>
      <c r="S120" s="152">
        <v>59.831471651631631</v>
      </c>
      <c r="T120" s="153">
        <v>33450962.267166354</v>
      </c>
      <c r="U120" s="156"/>
      <c r="V120" s="157">
        <v>1</v>
      </c>
      <c r="W120" s="158">
        <v>1</v>
      </c>
      <c r="X120" s="158">
        <v>1</v>
      </c>
      <c r="Y120" s="158">
        <v>1</v>
      </c>
      <c r="Z120" s="158">
        <v>1</v>
      </c>
      <c r="AA120" s="159">
        <v>1</v>
      </c>
      <c r="AB120" s="158">
        <v>1</v>
      </c>
      <c r="AC120" s="158">
        <v>1</v>
      </c>
      <c r="AD120" s="158">
        <v>1</v>
      </c>
      <c r="AE120" s="160">
        <v>2</v>
      </c>
      <c r="AF120" s="170">
        <v>1</v>
      </c>
      <c r="AG120" s="158">
        <v>1</v>
      </c>
      <c r="AH120" s="158">
        <v>1</v>
      </c>
      <c r="AI120" s="158">
        <v>1</v>
      </c>
      <c r="AJ120" s="158">
        <v>2</v>
      </c>
      <c r="AK120" s="73">
        <f t="shared" si="7"/>
        <v>119.55352339967726</v>
      </c>
      <c r="AL120" s="162"/>
      <c r="AM120" s="163"/>
      <c r="AN120" s="164"/>
      <c r="AO120" s="170" t="s">
        <v>49</v>
      </c>
      <c r="AP120" s="70">
        <f t="shared" si="8"/>
        <v>0.49</v>
      </c>
      <c r="AQ120" s="72">
        <f>IF(head!F$82="S235",235,IF(head!F$82="S275",275,IF(head!F$82="S355",355,IF(head!F$82="S420",420,460))))^0.5*head!$G$70*1000/(S120*3.1416*210000^0.5)</f>
        <v>2.1873785840254083</v>
      </c>
      <c r="AR120" s="72">
        <f t="shared" si="9"/>
        <v>3.3792202880127249</v>
      </c>
      <c r="AS120" s="72">
        <f t="shared" si="10"/>
        <v>0.16792685937604038</v>
      </c>
      <c r="AT120" s="52">
        <f>IF(head!F$82="S235",235,IF(head!F$82="S275",275,IF(head!F$82="S355",355,IF(head!F$82="S420",420,460))))*AS120*J120/1000</f>
        <v>278.52729939259899</v>
      </c>
      <c r="AU120" s="192" t="s">
        <v>47</v>
      </c>
      <c r="AV120" s="75" t="s">
        <v>47</v>
      </c>
      <c r="AW120" s="75" t="s">
        <v>47</v>
      </c>
      <c r="AX120" s="76" t="s">
        <v>47</v>
      </c>
      <c r="AY120" s="67" t="s">
        <v>47</v>
      </c>
      <c r="AZ120" s="193">
        <v>0</v>
      </c>
      <c r="BA120" s="169" t="str">
        <f t="shared" si="11"/>
        <v>CF CHS 177,8 x 10</v>
      </c>
      <c r="BB120" s="145"/>
    </row>
    <row r="121" spans="1:54" s="146" customFormat="1" ht="13.5" customHeight="1">
      <c r="A121" s="147" t="s">
        <v>406</v>
      </c>
      <c r="B121" s="62">
        <f t="shared" si="6"/>
        <v>310.58364015313896</v>
      </c>
      <c r="C121" s="149">
        <v>177.8</v>
      </c>
      <c r="D121" s="149"/>
      <c r="E121" s="150" t="s">
        <v>828</v>
      </c>
      <c r="F121" s="149"/>
      <c r="G121" s="149"/>
      <c r="H121" s="151">
        <v>41.382000910880826</v>
      </c>
      <c r="I121" s="152">
        <v>42.172739781789375</v>
      </c>
      <c r="J121" s="152">
        <v>5271.5924727236725</v>
      </c>
      <c r="K121" s="152">
        <v>0.55857517380826527</v>
      </c>
      <c r="L121" s="153">
        <v>18619818.130869653</v>
      </c>
      <c r="M121" s="154">
        <v>209446.77312564288</v>
      </c>
      <c r="N121" s="154">
        <v>281901.7333333334</v>
      </c>
      <c r="O121" s="155">
        <v>59.431515208683692</v>
      </c>
      <c r="P121" s="154">
        <v>18619818.130869653</v>
      </c>
      <c r="Q121" s="154">
        <v>209446.77312564288</v>
      </c>
      <c r="R121" s="154">
        <v>281901.7333333334</v>
      </c>
      <c r="S121" s="152">
        <v>59.431515208683692</v>
      </c>
      <c r="T121" s="153">
        <v>37239636.261739306</v>
      </c>
      <c r="U121" s="156"/>
      <c r="V121" s="157">
        <v>1</v>
      </c>
      <c r="W121" s="158">
        <v>1</v>
      </c>
      <c r="X121" s="158">
        <v>1</v>
      </c>
      <c r="Y121" s="158">
        <v>1</v>
      </c>
      <c r="Z121" s="158">
        <v>1</v>
      </c>
      <c r="AA121" s="159">
        <v>1</v>
      </c>
      <c r="AB121" s="158">
        <v>1</v>
      </c>
      <c r="AC121" s="158">
        <v>1</v>
      </c>
      <c r="AD121" s="158">
        <v>1</v>
      </c>
      <c r="AE121" s="160">
        <v>1</v>
      </c>
      <c r="AF121" s="170">
        <v>1</v>
      </c>
      <c r="AG121" s="158">
        <v>1</v>
      </c>
      <c r="AH121" s="158">
        <v>1</v>
      </c>
      <c r="AI121" s="158">
        <v>1</v>
      </c>
      <c r="AJ121" s="158">
        <v>1</v>
      </c>
      <c r="AK121" s="73">
        <f t="shared" si="7"/>
        <v>105.9594755661502</v>
      </c>
      <c r="AL121" s="162"/>
      <c r="AM121" s="163"/>
      <c r="AN121" s="164"/>
      <c r="AO121" s="170" t="s">
        <v>49</v>
      </c>
      <c r="AP121" s="70">
        <f t="shared" si="8"/>
        <v>0.49</v>
      </c>
      <c r="AQ121" s="72">
        <f>IF(head!F$82="S235",235,IF(head!F$82="S275",275,IF(head!F$82="S355",355,IF(head!F$82="S420",420,460))))^0.5*head!$G$70*1000/(S121*3.1416*210000^0.5)</f>
        <v>2.2020989921249727</v>
      </c>
      <c r="AR121" s="72">
        <f t="shared" si="9"/>
        <v>3.4151342386295287</v>
      </c>
      <c r="AS121" s="72">
        <f t="shared" si="10"/>
        <v>0.16596189821499951</v>
      </c>
      <c r="AT121" s="52">
        <f>IF(head!F$82="S235",235,IF(head!F$82="S275",275,IF(head!F$82="S355",355,IF(head!F$82="S420",420,460))))*AS121*J121/1000</f>
        <v>310.58364015313896</v>
      </c>
      <c r="AU121" s="192" t="s">
        <v>47</v>
      </c>
      <c r="AV121" s="75" t="s">
        <v>47</v>
      </c>
      <c r="AW121" s="75" t="s">
        <v>47</v>
      </c>
      <c r="AX121" s="76" t="s">
        <v>47</v>
      </c>
      <c r="AY121" s="67" t="s">
        <v>47</v>
      </c>
      <c r="AZ121" s="193">
        <v>0</v>
      </c>
      <c r="BA121" s="169" t="str">
        <f t="shared" si="11"/>
        <v>CF CHS 177,8 x 12,5</v>
      </c>
      <c r="BB121" s="145"/>
    </row>
    <row r="122" spans="1:54" s="146" customFormat="1" ht="13.5" customHeight="1">
      <c r="A122" s="147" t="s">
        <v>407</v>
      </c>
      <c r="B122" s="62">
        <f t="shared" si="6"/>
        <v>373.18926843374504</v>
      </c>
      <c r="C122" s="149">
        <v>177.8</v>
      </c>
      <c r="D122" s="149"/>
      <c r="E122" s="150" t="s">
        <v>829</v>
      </c>
      <c r="F122" s="149"/>
      <c r="G122" s="149"/>
      <c r="H122" s="151">
        <v>50.956829190767294</v>
      </c>
      <c r="I122" s="152">
        <v>51.93052656383928</v>
      </c>
      <c r="J122" s="152">
        <v>6491.3158204799101</v>
      </c>
      <c r="K122" s="152">
        <v>0.55857517380826527</v>
      </c>
      <c r="L122" s="153">
        <v>22297945.724270865</v>
      </c>
      <c r="M122" s="154">
        <v>250820.53683094334</v>
      </c>
      <c r="N122" s="154">
        <v>342202.16666666674</v>
      </c>
      <c r="O122" s="155">
        <v>58.609235620335475</v>
      </c>
      <c r="P122" s="154">
        <v>22297945.724270865</v>
      </c>
      <c r="Q122" s="154">
        <v>250820.53683094334</v>
      </c>
      <c r="R122" s="154">
        <v>342202.16666666674</v>
      </c>
      <c r="S122" s="152">
        <v>58.609235620335475</v>
      </c>
      <c r="T122" s="153">
        <v>44595891.448541731</v>
      </c>
      <c r="U122" s="156"/>
      <c r="V122" s="157">
        <v>1</v>
      </c>
      <c r="W122" s="158">
        <v>1</v>
      </c>
      <c r="X122" s="158">
        <v>1</v>
      </c>
      <c r="Y122" s="158">
        <v>1</v>
      </c>
      <c r="Z122" s="158">
        <v>1</v>
      </c>
      <c r="AA122" s="159">
        <v>1</v>
      </c>
      <c r="AB122" s="158">
        <v>1</v>
      </c>
      <c r="AC122" s="158">
        <v>1</v>
      </c>
      <c r="AD122" s="158">
        <v>1</v>
      </c>
      <c r="AE122" s="160">
        <v>1</v>
      </c>
      <c r="AF122" s="170">
        <v>1</v>
      </c>
      <c r="AG122" s="158">
        <v>1</v>
      </c>
      <c r="AH122" s="158">
        <v>1</v>
      </c>
      <c r="AI122" s="158">
        <v>1</v>
      </c>
      <c r="AJ122" s="158">
        <v>1</v>
      </c>
      <c r="AK122" s="73">
        <f t="shared" si="7"/>
        <v>86.049606775559596</v>
      </c>
      <c r="AL122" s="162"/>
      <c r="AM122" s="163"/>
      <c r="AN122" s="164"/>
      <c r="AO122" s="170" t="s">
        <v>49</v>
      </c>
      <c r="AP122" s="70">
        <f t="shared" si="8"/>
        <v>0.49</v>
      </c>
      <c r="AQ122" s="72">
        <f>IF(head!F$82="S235",235,IF(head!F$82="S275",275,IF(head!F$82="S355",355,IF(head!F$82="S420",420,460))))^0.5*head!$G$70*1000/(S122*3.1416*210000^0.5)</f>
        <v>2.2329941408772331</v>
      </c>
      <c r="AR122" s="72">
        <f t="shared" si="9"/>
        <v>3.4912149811109483</v>
      </c>
      <c r="AS122" s="72">
        <f t="shared" si="10"/>
        <v>0.16194519030380272</v>
      </c>
      <c r="AT122" s="52">
        <f>IF(head!F$82="S235",235,IF(head!F$82="S275",275,IF(head!F$82="S355",355,IF(head!F$82="S420",420,460))))*AS122*J122/1000</f>
        <v>373.18926843374504</v>
      </c>
      <c r="AU122" s="192" t="s">
        <v>47</v>
      </c>
      <c r="AV122" s="75" t="s">
        <v>47</v>
      </c>
      <c r="AW122" s="75" t="s">
        <v>47</v>
      </c>
      <c r="AX122" s="76" t="s">
        <v>47</v>
      </c>
      <c r="AY122" s="67" t="s">
        <v>47</v>
      </c>
      <c r="AZ122" s="193">
        <v>0</v>
      </c>
      <c r="BA122" s="169" t="str">
        <f t="shared" si="11"/>
        <v>CF CHS 177,8 x 14,2</v>
      </c>
      <c r="BB122" s="145"/>
    </row>
    <row r="123" spans="1:54" s="146" customFormat="1" ht="13.5" customHeight="1">
      <c r="A123" s="147" t="s">
        <v>408</v>
      </c>
      <c r="B123" s="62">
        <f t="shared" si="6"/>
        <v>412.66257943669547</v>
      </c>
      <c r="C123" s="149">
        <v>177.8</v>
      </c>
      <c r="D123" s="149"/>
      <c r="E123" s="150" t="s">
        <v>830</v>
      </c>
      <c r="F123" s="149"/>
      <c r="G123" s="149"/>
      <c r="H123" s="151">
        <v>57.291629294449052</v>
      </c>
      <c r="I123" s="152">
        <v>58.386373803260177</v>
      </c>
      <c r="J123" s="152">
        <v>7298.2967254075229</v>
      </c>
      <c r="K123" s="152">
        <v>0.55857517380826527</v>
      </c>
      <c r="L123" s="153">
        <v>24601281.059421819</v>
      </c>
      <c r="M123" s="154">
        <v>276729.82069090905</v>
      </c>
      <c r="N123" s="154">
        <v>381016.86133333354</v>
      </c>
      <c r="O123" s="155">
        <v>58.058806394895861</v>
      </c>
      <c r="P123" s="154">
        <v>24601281.059421819</v>
      </c>
      <c r="Q123" s="154">
        <v>276729.82069090905</v>
      </c>
      <c r="R123" s="154">
        <v>381016.86133333354</v>
      </c>
      <c r="S123" s="152">
        <v>58.058806394895861</v>
      </c>
      <c r="T123" s="153">
        <v>49202562.118843637</v>
      </c>
      <c r="U123" s="156"/>
      <c r="V123" s="157">
        <v>1</v>
      </c>
      <c r="W123" s="158">
        <v>1</v>
      </c>
      <c r="X123" s="158">
        <v>1</v>
      </c>
      <c r="Y123" s="158">
        <v>1</v>
      </c>
      <c r="Z123" s="158">
        <v>1</v>
      </c>
      <c r="AA123" s="159">
        <v>1</v>
      </c>
      <c r="AB123" s="158">
        <v>1</v>
      </c>
      <c r="AC123" s="158">
        <v>1</v>
      </c>
      <c r="AD123" s="158">
        <v>1</v>
      </c>
      <c r="AE123" s="160">
        <v>1</v>
      </c>
      <c r="AF123" s="170">
        <v>1</v>
      </c>
      <c r="AG123" s="158">
        <v>1</v>
      </c>
      <c r="AH123" s="158">
        <v>1</v>
      </c>
      <c r="AI123" s="158">
        <v>1</v>
      </c>
      <c r="AJ123" s="158">
        <v>1</v>
      </c>
      <c r="AK123" s="73">
        <f t="shared" si="7"/>
        <v>76.535004648920392</v>
      </c>
      <c r="AL123" s="162"/>
      <c r="AM123" s="163"/>
      <c r="AN123" s="164"/>
      <c r="AO123" s="170" t="s">
        <v>49</v>
      </c>
      <c r="AP123" s="70">
        <f t="shared" si="8"/>
        <v>0.49</v>
      </c>
      <c r="AQ123" s="72">
        <f>IF(head!F$82="S235",235,IF(head!F$82="S275",275,IF(head!F$82="S355",355,IF(head!F$82="S420",420,460))))^0.5*head!$G$70*1000/(S123*3.1416*210000^0.5)</f>
        <v>2.2541641461132054</v>
      </c>
      <c r="AR123" s="72">
        <f t="shared" si="9"/>
        <v>3.5438982146088733</v>
      </c>
      <c r="AS123" s="72">
        <f t="shared" si="10"/>
        <v>0.1592741217527327</v>
      </c>
      <c r="AT123" s="52">
        <f>IF(head!F$82="S235",235,IF(head!F$82="S275",275,IF(head!F$82="S355",355,IF(head!F$82="S420",420,460))))*AS123*J123/1000</f>
        <v>412.66257943669547</v>
      </c>
      <c r="AU123" s="192" t="s">
        <v>47</v>
      </c>
      <c r="AV123" s="75" t="s">
        <v>47</v>
      </c>
      <c r="AW123" s="75" t="s">
        <v>47</v>
      </c>
      <c r="AX123" s="76" t="s">
        <v>47</v>
      </c>
      <c r="AY123" s="67" t="s">
        <v>47</v>
      </c>
      <c r="AZ123" s="193">
        <v>0</v>
      </c>
      <c r="BA123" s="169" t="str">
        <f t="shared" si="11"/>
        <v>CF CHS 177,8 x 16</v>
      </c>
      <c r="BB123" s="145"/>
    </row>
    <row r="124" spans="1:54" s="146" customFormat="1" ht="13.5" customHeight="1">
      <c r="A124" s="147" t="s">
        <v>409</v>
      </c>
      <c r="B124" s="62">
        <f t="shared" si="6"/>
        <v>451.84661525480647</v>
      </c>
      <c r="C124" s="149">
        <v>177.8</v>
      </c>
      <c r="D124" s="149"/>
      <c r="E124" s="150" t="s">
        <v>831</v>
      </c>
      <c r="F124" s="149"/>
      <c r="G124" s="149"/>
      <c r="H124" s="151">
        <v>63.843697233664074</v>
      </c>
      <c r="I124" s="152">
        <v>65.06364049290606</v>
      </c>
      <c r="J124" s="152">
        <v>8132.9550616132574</v>
      </c>
      <c r="K124" s="152">
        <v>0.55857517380826527</v>
      </c>
      <c r="L124" s="153">
        <v>26874577.370370153</v>
      </c>
      <c r="M124" s="154">
        <v>302301.20776569343</v>
      </c>
      <c r="N124" s="154">
        <v>420233.17333333346</v>
      </c>
      <c r="O124" s="155">
        <v>57.48395428291272</v>
      </c>
      <c r="P124" s="154">
        <v>26874577.370370153</v>
      </c>
      <c r="Q124" s="154">
        <v>302301.20776569343</v>
      </c>
      <c r="R124" s="154">
        <v>420233.17333333346</v>
      </c>
      <c r="S124" s="152">
        <v>57.48395428291272</v>
      </c>
      <c r="T124" s="153">
        <v>53749154.740740307</v>
      </c>
      <c r="U124" s="156"/>
      <c r="V124" s="157">
        <v>1</v>
      </c>
      <c r="W124" s="158">
        <v>1</v>
      </c>
      <c r="X124" s="158">
        <v>1</v>
      </c>
      <c r="Y124" s="158">
        <v>1</v>
      </c>
      <c r="Z124" s="158">
        <v>1</v>
      </c>
      <c r="AA124" s="159">
        <v>1</v>
      </c>
      <c r="AB124" s="158">
        <v>1</v>
      </c>
      <c r="AC124" s="158">
        <v>1</v>
      </c>
      <c r="AD124" s="158">
        <v>1</v>
      </c>
      <c r="AE124" s="160">
        <v>1</v>
      </c>
      <c r="AF124" s="170">
        <v>1</v>
      </c>
      <c r="AG124" s="158">
        <v>1</v>
      </c>
      <c r="AH124" s="158">
        <v>1</v>
      </c>
      <c r="AI124" s="158">
        <v>1</v>
      </c>
      <c r="AJ124" s="158">
        <v>1</v>
      </c>
      <c r="AK124" s="73">
        <f t="shared" si="7"/>
        <v>68.680469715698393</v>
      </c>
      <c r="AL124" s="162"/>
      <c r="AM124" s="163"/>
      <c r="AN124" s="164"/>
      <c r="AO124" s="170" t="s">
        <v>49</v>
      </c>
      <c r="AP124" s="70">
        <f t="shared" si="8"/>
        <v>0.49</v>
      </c>
      <c r="AQ124" s="72">
        <f>IF(head!F$82="S235",235,IF(head!F$82="S275",275,IF(head!F$82="S355",355,IF(head!F$82="S420",420,460))))^0.5*head!$G$70*1000/(S124*3.1416*210000^0.5)</f>
        <v>2.2767062804585985</v>
      </c>
      <c r="AR124" s="72">
        <f t="shared" si="9"/>
        <v>3.6004887824521701</v>
      </c>
      <c r="AS124" s="72">
        <f t="shared" si="10"/>
        <v>0.15649998767637024</v>
      </c>
      <c r="AT124" s="52">
        <f>IF(head!F$82="S235",235,IF(head!F$82="S275",275,IF(head!F$82="S355",355,IF(head!F$82="S420",420,460))))*AS124*J124/1000</f>
        <v>451.84661525480647</v>
      </c>
      <c r="AU124" s="192" t="s">
        <v>47</v>
      </c>
      <c r="AV124" s="75" t="s">
        <v>47</v>
      </c>
      <c r="AW124" s="75" t="s">
        <v>47</v>
      </c>
      <c r="AX124" s="76" t="s">
        <v>47</v>
      </c>
      <c r="AY124" s="67" t="s">
        <v>47</v>
      </c>
      <c r="AZ124" s="193">
        <v>0</v>
      </c>
      <c r="BA124" s="169" t="str">
        <f t="shared" si="11"/>
        <v>CF CHS 177,8 x 20</v>
      </c>
      <c r="BB124" s="145"/>
    </row>
    <row r="125" spans="1:54" s="146" customFormat="1" ht="13.5" customHeight="1">
      <c r="A125" s="147" t="s">
        <v>410</v>
      </c>
      <c r="B125" s="62">
        <f t="shared" si="6"/>
        <v>529.86086384556393</v>
      </c>
      <c r="C125" s="149">
        <v>177.8</v>
      </c>
      <c r="D125" s="149"/>
      <c r="E125" s="150" t="s">
        <v>833</v>
      </c>
      <c r="F125" s="149"/>
      <c r="G125" s="149"/>
      <c r="H125" s="151">
        <v>77.831701355625682</v>
      </c>
      <c r="I125" s="152">
        <v>79.318931317835094</v>
      </c>
      <c r="J125" s="152">
        <v>9914.8664147293875</v>
      </c>
      <c r="K125" s="152">
        <v>0.55857517380826527</v>
      </c>
      <c r="L125" s="153">
        <v>31356806.097555242</v>
      </c>
      <c r="M125" s="154">
        <v>352719.97860017145</v>
      </c>
      <c r="N125" s="154">
        <v>500683.46666666679</v>
      </c>
      <c r="O125" s="155">
        <v>56.237042952132548</v>
      </c>
      <c r="P125" s="154">
        <v>31356806.097555242</v>
      </c>
      <c r="Q125" s="154">
        <v>352719.97860017145</v>
      </c>
      <c r="R125" s="154">
        <v>500683.46666666679</v>
      </c>
      <c r="S125" s="152">
        <v>56.237042952132548</v>
      </c>
      <c r="T125" s="153">
        <v>62713612.195110485</v>
      </c>
      <c r="U125" s="156"/>
      <c r="V125" s="157">
        <v>1</v>
      </c>
      <c r="W125" s="158">
        <v>1</v>
      </c>
      <c r="X125" s="158">
        <v>1</v>
      </c>
      <c r="Y125" s="158">
        <v>1</v>
      </c>
      <c r="Z125" s="158">
        <v>1</v>
      </c>
      <c r="AA125" s="159">
        <v>1</v>
      </c>
      <c r="AB125" s="158">
        <v>1</v>
      </c>
      <c r="AC125" s="158">
        <v>1</v>
      </c>
      <c r="AD125" s="158">
        <v>1</v>
      </c>
      <c r="AE125" s="160">
        <v>1</v>
      </c>
      <c r="AF125" s="170">
        <v>1</v>
      </c>
      <c r="AG125" s="158">
        <v>1</v>
      </c>
      <c r="AH125" s="158">
        <v>1</v>
      </c>
      <c r="AI125" s="158">
        <v>1</v>
      </c>
      <c r="AJ125" s="158">
        <v>1</v>
      </c>
      <c r="AK125" s="73">
        <f t="shared" si="7"/>
        <v>56.337135614702156</v>
      </c>
      <c r="AL125" s="162"/>
      <c r="AM125" s="163"/>
      <c r="AN125" s="164"/>
      <c r="AO125" s="170" t="s">
        <v>49</v>
      </c>
      <c r="AP125" s="70">
        <f t="shared" si="8"/>
        <v>0.49</v>
      </c>
      <c r="AQ125" s="72">
        <f>IF(head!F$82="S235",235,IF(head!F$82="S275",275,IF(head!F$82="S355",355,IF(head!F$82="S420",420,460))))^0.5*head!$G$70*1000/(S125*3.1416*210000^0.5)</f>
        <v>2.3271863681185874</v>
      </c>
      <c r="AR125" s="72">
        <f t="shared" si="9"/>
        <v>3.7290588561675442</v>
      </c>
      <c r="AS125" s="72">
        <f t="shared" si="10"/>
        <v>0.15053816675050113</v>
      </c>
      <c r="AT125" s="52">
        <f>IF(head!F$82="S235",235,IF(head!F$82="S275",275,IF(head!F$82="S355",355,IF(head!F$82="S420",420,460))))*AS125*J125/1000</f>
        <v>529.86086384556393</v>
      </c>
      <c r="AU125" s="192" t="s">
        <v>47</v>
      </c>
      <c r="AV125" s="75" t="s">
        <v>47</v>
      </c>
      <c r="AW125" s="75" t="s">
        <v>47</v>
      </c>
      <c r="AX125" s="76" t="s">
        <v>47</v>
      </c>
      <c r="AY125" s="67" t="s">
        <v>47</v>
      </c>
      <c r="AZ125" s="193">
        <v>0</v>
      </c>
      <c r="BA125" s="169" t="str">
        <f t="shared" si="11"/>
        <v>CF CHS 193,7 x 5,6</v>
      </c>
      <c r="BB125" s="145"/>
    </row>
    <row r="126" spans="1:54" s="146" customFormat="1" ht="13.5" customHeight="1">
      <c r="A126" s="147" t="s">
        <v>411</v>
      </c>
      <c r="B126" s="62">
        <f t="shared" si="6"/>
        <v>237.12938701426222</v>
      </c>
      <c r="C126" s="149">
        <v>193.7</v>
      </c>
      <c r="D126" s="149"/>
      <c r="E126" s="150" t="s">
        <v>823</v>
      </c>
      <c r="F126" s="149"/>
      <c r="G126" s="149"/>
      <c r="H126" s="151">
        <v>25.977440095044926</v>
      </c>
      <c r="I126" s="152">
        <v>26.473824300682729</v>
      </c>
      <c r="J126" s="152">
        <v>3309.2280375853406</v>
      </c>
      <c r="K126" s="152">
        <v>0.60852649700034289</v>
      </c>
      <c r="L126" s="153">
        <v>14648699.15227106</v>
      </c>
      <c r="M126" s="154">
        <v>151251.41096820921</v>
      </c>
      <c r="N126" s="154">
        <v>198195.55466666649</v>
      </c>
      <c r="O126" s="155">
        <v>66.532858423488747</v>
      </c>
      <c r="P126" s="154">
        <v>14648699.15227106</v>
      </c>
      <c r="Q126" s="154">
        <v>151251.41096820921</v>
      </c>
      <c r="R126" s="154">
        <v>198195.55466666649</v>
      </c>
      <c r="S126" s="152">
        <v>66.532858423488747</v>
      </c>
      <c r="T126" s="153">
        <v>29297398.304542121</v>
      </c>
      <c r="U126" s="156"/>
      <c r="V126" s="157">
        <v>1</v>
      </c>
      <c r="W126" s="158">
        <v>1</v>
      </c>
      <c r="X126" s="158">
        <v>2</v>
      </c>
      <c r="Y126" s="158">
        <v>2</v>
      </c>
      <c r="Z126" s="158">
        <v>2</v>
      </c>
      <c r="AA126" s="159">
        <v>1</v>
      </c>
      <c r="AB126" s="158">
        <v>2</v>
      </c>
      <c r="AC126" s="158">
        <v>3</v>
      </c>
      <c r="AD126" s="158">
        <v>3</v>
      </c>
      <c r="AE126" s="160">
        <v>4</v>
      </c>
      <c r="AF126" s="170">
        <v>1</v>
      </c>
      <c r="AG126" s="158">
        <v>2</v>
      </c>
      <c r="AH126" s="158">
        <v>3</v>
      </c>
      <c r="AI126" s="158">
        <v>3</v>
      </c>
      <c r="AJ126" s="158">
        <v>4</v>
      </c>
      <c r="AK126" s="73">
        <f t="shared" si="7"/>
        <v>183.88774967722358</v>
      </c>
      <c r="AL126" s="162"/>
      <c r="AM126" s="163"/>
      <c r="AN126" s="164"/>
      <c r="AO126" s="170" t="s">
        <v>49</v>
      </c>
      <c r="AP126" s="70">
        <f t="shared" si="8"/>
        <v>0.49</v>
      </c>
      <c r="AQ126" s="72">
        <f>IF(head!F$82="S235",235,IF(head!F$82="S275",275,IF(head!F$82="S355",355,IF(head!F$82="S420",420,460))))^0.5*head!$G$70*1000/(S126*3.1416*210000^0.5)</f>
        <v>1.9670593274149573</v>
      </c>
      <c r="AR126" s="72">
        <f t="shared" si="9"/>
        <v>2.8675907340017566</v>
      </c>
      <c r="AS126" s="72">
        <f t="shared" si="10"/>
        <v>0.20185073276271651</v>
      </c>
      <c r="AT126" s="52">
        <f>IF(head!F$82="S235",235,IF(head!F$82="S275",275,IF(head!F$82="S355",355,IF(head!F$82="S420",420,460))))*AS126*J126/1000</f>
        <v>237.12938701426222</v>
      </c>
      <c r="AU126" s="192" t="s">
        <v>47</v>
      </c>
      <c r="AV126" s="75" t="s">
        <v>47</v>
      </c>
      <c r="AW126" s="75" t="s">
        <v>47</v>
      </c>
      <c r="AX126" s="76" t="s">
        <v>47</v>
      </c>
      <c r="AY126" s="67" t="s">
        <v>47</v>
      </c>
      <c r="AZ126" s="193">
        <v>0</v>
      </c>
      <c r="BA126" s="169" t="str">
        <f t="shared" si="11"/>
        <v>CF CHS 193,7 x 6,3</v>
      </c>
      <c r="BB126" s="145"/>
    </row>
    <row r="127" spans="1:54" s="146" customFormat="1" ht="13.5" customHeight="1">
      <c r="A127" s="147" t="s">
        <v>412</v>
      </c>
      <c r="B127" s="62">
        <f t="shared" ref="B127:B184" si="12">AT127</f>
        <v>264.14194876096985</v>
      </c>
      <c r="C127" s="149">
        <v>193.7</v>
      </c>
      <c r="D127" s="149"/>
      <c r="E127" s="150" t="s">
        <v>824</v>
      </c>
      <c r="F127" s="149"/>
      <c r="G127" s="149"/>
      <c r="H127" s="151">
        <v>29.115862881647249</v>
      </c>
      <c r="I127" s="152">
        <v>29.672216949449425</v>
      </c>
      <c r="J127" s="152">
        <v>3709.0271186811783</v>
      </c>
      <c r="K127" s="152">
        <v>0.60852649700034289</v>
      </c>
      <c r="L127" s="153">
        <v>16300455.562599523</v>
      </c>
      <c r="M127" s="154">
        <v>168306.20095611279</v>
      </c>
      <c r="N127" s="154">
        <v>221331.53699999987</v>
      </c>
      <c r="O127" s="155">
        <v>66.293334883681908</v>
      </c>
      <c r="P127" s="154">
        <v>16300455.562599523</v>
      </c>
      <c r="Q127" s="154">
        <v>168306.20095611279</v>
      </c>
      <c r="R127" s="154">
        <v>221331.53699999987</v>
      </c>
      <c r="S127" s="152">
        <v>66.293334883681908</v>
      </c>
      <c r="T127" s="153">
        <v>32600911.125199046</v>
      </c>
      <c r="U127" s="156"/>
      <c r="V127" s="157">
        <v>1</v>
      </c>
      <c r="W127" s="158">
        <v>1</v>
      </c>
      <c r="X127" s="158">
        <v>1</v>
      </c>
      <c r="Y127" s="158">
        <v>2</v>
      </c>
      <c r="Z127" s="158">
        <v>2</v>
      </c>
      <c r="AA127" s="159">
        <v>1</v>
      </c>
      <c r="AB127" s="158">
        <v>1</v>
      </c>
      <c r="AC127" s="158">
        <v>2</v>
      </c>
      <c r="AD127" s="158">
        <v>3</v>
      </c>
      <c r="AE127" s="160">
        <v>3</v>
      </c>
      <c r="AF127" s="170">
        <v>1</v>
      </c>
      <c r="AG127" s="158">
        <v>1</v>
      </c>
      <c r="AH127" s="158">
        <v>2</v>
      </c>
      <c r="AI127" s="158">
        <v>3</v>
      </c>
      <c r="AJ127" s="158">
        <v>3</v>
      </c>
      <c r="AK127" s="73">
        <f t="shared" si="7"/>
        <v>164.06633802578318</v>
      </c>
      <c r="AL127" s="162"/>
      <c r="AM127" s="163"/>
      <c r="AN127" s="164"/>
      <c r="AO127" s="170" t="s">
        <v>49</v>
      </c>
      <c r="AP127" s="70">
        <f t="shared" si="8"/>
        <v>0.49</v>
      </c>
      <c r="AQ127" s="72">
        <f>IF(head!F$82="S235",235,IF(head!F$82="S275",275,IF(head!F$82="S355",355,IF(head!F$82="S420",420,460))))^0.5*head!$G$70*1000/(S127*3.1416*210000^0.5)</f>
        <v>1.9741664825149261</v>
      </c>
      <c r="AR127" s="72">
        <f t="shared" si="9"/>
        <v>2.8833374385588346</v>
      </c>
      <c r="AS127" s="72">
        <f t="shared" si="10"/>
        <v>0.20060835461355603</v>
      </c>
      <c r="AT127" s="52">
        <f>IF(head!F$82="S235",235,IF(head!F$82="S275",275,IF(head!F$82="S355",355,IF(head!F$82="S420",420,460))))*AS127*J127/1000</f>
        <v>264.14194876096985</v>
      </c>
      <c r="AU127" s="192" t="s">
        <v>47</v>
      </c>
      <c r="AV127" s="75" t="s">
        <v>47</v>
      </c>
      <c r="AW127" s="75" t="s">
        <v>47</v>
      </c>
      <c r="AX127" s="76" t="s">
        <v>47</v>
      </c>
      <c r="AY127" s="67" t="s">
        <v>47</v>
      </c>
      <c r="AZ127" s="193">
        <v>0</v>
      </c>
      <c r="BA127" s="169" t="str">
        <f t="shared" si="11"/>
        <v>CF CHS 193,7 x 7,1</v>
      </c>
      <c r="BB127" s="145"/>
    </row>
    <row r="128" spans="1:54" s="146" customFormat="1" ht="13.5" customHeight="1">
      <c r="A128" s="147" t="s">
        <v>413</v>
      </c>
      <c r="B128" s="62">
        <f t="shared" si="12"/>
        <v>294.32795310872899</v>
      </c>
      <c r="C128" s="149">
        <v>193.7</v>
      </c>
      <c r="D128" s="149"/>
      <c r="E128" s="150" t="s">
        <v>825</v>
      </c>
      <c r="F128" s="149"/>
      <c r="G128" s="149"/>
      <c r="H128" s="151">
        <v>32.673037977824507</v>
      </c>
      <c r="I128" s="152">
        <v>33.297363544279754</v>
      </c>
      <c r="J128" s="152">
        <v>4162.1704430349691</v>
      </c>
      <c r="K128" s="152">
        <v>0.60852649700034289</v>
      </c>
      <c r="L128" s="153">
        <v>18141844.810439505</v>
      </c>
      <c r="M128" s="154">
        <v>187318.99649395462</v>
      </c>
      <c r="N128" s="154">
        <v>247338.17966666646</v>
      </c>
      <c r="O128" s="155">
        <v>66.020801646147845</v>
      </c>
      <c r="P128" s="154">
        <v>18141844.810439505</v>
      </c>
      <c r="Q128" s="154">
        <v>187318.99649395462</v>
      </c>
      <c r="R128" s="154">
        <v>247338.17966666646</v>
      </c>
      <c r="S128" s="152">
        <v>66.020801646147845</v>
      </c>
      <c r="T128" s="153">
        <v>36283689.620879009</v>
      </c>
      <c r="U128" s="156"/>
      <c r="V128" s="157">
        <v>1</v>
      </c>
      <c r="W128" s="158">
        <v>1</v>
      </c>
      <c r="X128" s="158">
        <v>1</v>
      </c>
      <c r="Y128" s="158">
        <v>1</v>
      </c>
      <c r="Z128" s="158">
        <v>2</v>
      </c>
      <c r="AA128" s="159">
        <v>1</v>
      </c>
      <c r="AB128" s="158">
        <v>1</v>
      </c>
      <c r="AC128" s="158">
        <v>2</v>
      </c>
      <c r="AD128" s="158">
        <v>2</v>
      </c>
      <c r="AE128" s="160">
        <v>3</v>
      </c>
      <c r="AF128" s="170">
        <v>1</v>
      </c>
      <c r="AG128" s="158">
        <v>1</v>
      </c>
      <c r="AH128" s="158">
        <v>2</v>
      </c>
      <c r="AI128" s="158">
        <v>2</v>
      </c>
      <c r="AJ128" s="158">
        <v>3</v>
      </c>
      <c r="AK128" s="73">
        <f t="shared" ref="AK128:AK185" si="13">K128/J128*1000000</f>
        <v>146.20412722853752</v>
      </c>
      <c r="AL128" s="162"/>
      <c r="AM128" s="163"/>
      <c r="AN128" s="164"/>
      <c r="AO128" s="170" t="s">
        <v>49</v>
      </c>
      <c r="AP128" s="70">
        <f t="shared" si="8"/>
        <v>0.49</v>
      </c>
      <c r="AQ128" s="72">
        <f>IF(head!F$82="S235",235,IF(head!F$82="S275",275,IF(head!F$82="S355",355,IF(head!F$82="S420",420,460))))^0.5*head!$G$70*1000/(S128*3.1416*210000^0.5)</f>
        <v>1.9823158228666939</v>
      </c>
      <c r="AR128" s="72">
        <f t="shared" si="9"/>
        <v>2.9014553873961688</v>
      </c>
      <c r="AS128" s="72">
        <f t="shared" si="10"/>
        <v>0.19919723062898745</v>
      </c>
      <c r="AT128" s="52">
        <f>IF(head!F$82="S235",235,IF(head!F$82="S275",275,IF(head!F$82="S355",355,IF(head!F$82="S420",420,460))))*AS128*J128/1000</f>
        <v>294.32795310872899</v>
      </c>
      <c r="AU128" s="192" t="s">
        <v>47</v>
      </c>
      <c r="AV128" s="75" t="s">
        <v>47</v>
      </c>
      <c r="AW128" s="75" t="s">
        <v>47</v>
      </c>
      <c r="AX128" s="76" t="s">
        <v>47</v>
      </c>
      <c r="AY128" s="67" t="s">
        <v>47</v>
      </c>
      <c r="AZ128" s="193">
        <v>0</v>
      </c>
      <c r="BA128" s="169" t="str">
        <f t="shared" si="11"/>
        <v>CF CHS 193,7 x 8</v>
      </c>
      <c r="BB128" s="145"/>
    </row>
    <row r="129" spans="1:54" s="146" customFormat="1" ht="13.5" customHeight="1">
      <c r="A129" s="147" t="s">
        <v>414</v>
      </c>
      <c r="B129" s="62">
        <f t="shared" si="12"/>
        <v>327.42594732416291</v>
      </c>
      <c r="C129" s="149">
        <v>193.7</v>
      </c>
      <c r="D129" s="149"/>
      <c r="E129" s="150" t="s">
        <v>826</v>
      </c>
      <c r="F129" s="149"/>
      <c r="G129" s="149"/>
      <c r="H129" s="151">
        <v>36.637127862458001</v>
      </c>
      <c r="I129" s="152">
        <v>37.33720036938395</v>
      </c>
      <c r="J129" s="152">
        <v>4667.1500461729947</v>
      </c>
      <c r="K129" s="152">
        <v>0.60852649700034289</v>
      </c>
      <c r="L129" s="153">
        <v>20155373.337338399</v>
      </c>
      <c r="M129" s="154">
        <v>208109.17230086113</v>
      </c>
      <c r="N129" s="154">
        <v>276046.58666666661</v>
      </c>
      <c r="O129" s="155">
        <v>65.715761047103442</v>
      </c>
      <c r="P129" s="154">
        <v>20155373.337338399</v>
      </c>
      <c r="Q129" s="154">
        <v>208109.17230086113</v>
      </c>
      <c r="R129" s="154">
        <v>276046.58666666661</v>
      </c>
      <c r="S129" s="152">
        <v>65.715761047103442</v>
      </c>
      <c r="T129" s="153">
        <v>40310746.674676798</v>
      </c>
      <c r="U129" s="156"/>
      <c r="V129" s="157">
        <v>1</v>
      </c>
      <c r="W129" s="158">
        <v>1</v>
      </c>
      <c r="X129" s="158">
        <v>1</v>
      </c>
      <c r="Y129" s="158">
        <v>1</v>
      </c>
      <c r="Z129" s="158">
        <v>1</v>
      </c>
      <c r="AA129" s="159">
        <v>1</v>
      </c>
      <c r="AB129" s="158">
        <v>1</v>
      </c>
      <c r="AC129" s="158">
        <v>2</v>
      </c>
      <c r="AD129" s="158">
        <v>2</v>
      </c>
      <c r="AE129" s="160">
        <v>2</v>
      </c>
      <c r="AF129" s="170">
        <v>1</v>
      </c>
      <c r="AG129" s="158">
        <v>1</v>
      </c>
      <c r="AH129" s="158">
        <v>2</v>
      </c>
      <c r="AI129" s="158">
        <v>2</v>
      </c>
      <c r="AJ129" s="158">
        <v>2</v>
      </c>
      <c r="AK129" s="73">
        <f t="shared" si="13"/>
        <v>130.38502961766295</v>
      </c>
      <c r="AL129" s="162"/>
      <c r="AM129" s="163"/>
      <c r="AN129" s="164"/>
      <c r="AO129" s="170" t="s">
        <v>49</v>
      </c>
      <c r="AP129" s="70">
        <f t="shared" si="8"/>
        <v>0.49</v>
      </c>
      <c r="AQ129" s="72">
        <f>IF(head!F$82="S235",235,IF(head!F$82="S275",275,IF(head!F$82="S355",355,IF(head!F$82="S420",420,460))))^0.5*head!$G$70*1000/(S129*3.1416*210000^0.5)</f>
        <v>1.9915173720303569</v>
      </c>
      <c r="AR129" s="72">
        <f t="shared" si="9"/>
        <v>2.9219924776967869</v>
      </c>
      <c r="AS129" s="72">
        <f t="shared" si="10"/>
        <v>0.19762094705676692</v>
      </c>
      <c r="AT129" s="52">
        <f>IF(head!F$82="S235",235,IF(head!F$82="S275",275,IF(head!F$82="S355",355,IF(head!F$82="S420",420,460))))*AS129*J129/1000</f>
        <v>327.42594732416291</v>
      </c>
      <c r="AU129" s="192" t="s">
        <v>47</v>
      </c>
      <c r="AV129" s="75" t="s">
        <v>47</v>
      </c>
      <c r="AW129" s="75" t="s">
        <v>47</v>
      </c>
      <c r="AX129" s="76" t="s">
        <v>47</v>
      </c>
      <c r="AY129" s="67" t="s">
        <v>47</v>
      </c>
      <c r="AZ129" s="193">
        <v>0</v>
      </c>
      <c r="BA129" s="169" t="str">
        <f t="shared" si="11"/>
        <v>CF CHS 193,7 x 8,8</v>
      </c>
      <c r="BB129" s="145"/>
    </row>
    <row r="130" spans="1:54" s="146" customFormat="1" ht="13.5" customHeight="1">
      <c r="A130" s="147" t="s">
        <v>415</v>
      </c>
      <c r="B130" s="62">
        <f t="shared" si="12"/>
        <v>356.09258697638415</v>
      </c>
      <c r="C130" s="149">
        <v>193.7</v>
      </c>
      <c r="D130" s="149"/>
      <c r="E130" s="150" t="s">
        <v>827</v>
      </c>
      <c r="F130" s="149"/>
      <c r="G130" s="149"/>
      <c r="H130" s="151">
        <v>40.127223672295806</v>
      </c>
      <c r="I130" s="152">
        <v>40.89398590807216</v>
      </c>
      <c r="J130" s="152">
        <v>5111.7482385090207</v>
      </c>
      <c r="K130" s="152">
        <v>0.60852649700034289</v>
      </c>
      <c r="L130" s="153">
        <v>21894544.209902361</v>
      </c>
      <c r="M130" s="154">
        <v>226066.5380475205</v>
      </c>
      <c r="N130" s="154">
        <v>301081.64533333323</v>
      </c>
      <c r="O130" s="155">
        <v>65.446017831492227</v>
      </c>
      <c r="P130" s="154">
        <v>21894544.209902361</v>
      </c>
      <c r="Q130" s="154">
        <v>226066.5380475205</v>
      </c>
      <c r="R130" s="154">
        <v>301081.64533333323</v>
      </c>
      <c r="S130" s="152">
        <v>65.446017831492227</v>
      </c>
      <c r="T130" s="153">
        <v>43789088.419804722</v>
      </c>
      <c r="U130" s="156"/>
      <c r="V130" s="157">
        <v>1</v>
      </c>
      <c r="W130" s="158">
        <v>1</v>
      </c>
      <c r="X130" s="158">
        <v>1</v>
      </c>
      <c r="Y130" s="158">
        <v>1</v>
      </c>
      <c r="Z130" s="158">
        <v>1</v>
      </c>
      <c r="AA130" s="159">
        <v>1</v>
      </c>
      <c r="AB130" s="158">
        <v>1</v>
      </c>
      <c r="AC130" s="158">
        <v>1</v>
      </c>
      <c r="AD130" s="158">
        <v>2</v>
      </c>
      <c r="AE130" s="160">
        <v>2</v>
      </c>
      <c r="AF130" s="170">
        <v>1</v>
      </c>
      <c r="AG130" s="158">
        <v>1</v>
      </c>
      <c r="AH130" s="158">
        <v>1</v>
      </c>
      <c r="AI130" s="158">
        <v>2</v>
      </c>
      <c r="AJ130" s="158">
        <v>2</v>
      </c>
      <c r="AK130" s="73">
        <f t="shared" si="13"/>
        <v>119.04469246275636</v>
      </c>
      <c r="AL130" s="162"/>
      <c r="AM130" s="163"/>
      <c r="AN130" s="164"/>
      <c r="AO130" s="170" t="s">
        <v>49</v>
      </c>
      <c r="AP130" s="70">
        <f t="shared" si="8"/>
        <v>0.49</v>
      </c>
      <c r="AQ130" s="72">
        <f>IF(head!F$82="S235",235,IF(head!F$82="S275",275,IF(head!F$82="S355",355,IF(head!F$82="S420",420,460))))^0.5*head!$G$70*1000/(S130*3.1416*210000^0.5)</f>
        <v>1.9997256376770192</v>
      </c>
      <c r="AR130" s="72">
        <f t="shared" si="9"/>
        <v>2.9403840942222503</v>
      </c>
      <c r="AS130" s="72">
        <f t="shared" si="10"/>
        <v>0.19622987341904111</v>
      </c>
      <c r="AT130" s="52">
        <f>IF(head!F$82="S235",235,IF(head!F$82="S275",275,IF(head!F$82="S355",355,IF(head!F$82="S420",420,460))))*AS130*J130/1000</f>
        <v>356.09258697638415</v>
      </c>
      <c r="AU130" s="192" t="s">
        <v>47</v>
      </c>
      <c r="AV130" s="75" t="s">
        <v>47</v>
      </c>
      <c r="AW130" s="75" t="s">
        <v>47</v>
      </c>
      <c r="AX130" s="76" t="s">
        <v>47</v>
      </c>
      <c r="AY130" s="67" t="s">
        <v>47</v>
      </c>
      <c r="AZ130" s="193">
        <v>0</v>
      </c>
      <c r="BA130" s="169" t="str">
        <f t="shared" si="11"/>
        <v>CF CHS 193,7 x 10</v>
      </c>
      <c r="BB130" s="145"/>
    </row>
    <row r="131" spans="1:54" s="146" customFormat="1" ht="13.5" customHeight="1">
      <c r="A131" s="147" t="s">
        <v>416</v>
      </c>
      <c r="B131" s="62">
        <f t="shared" si="12"/>
        <v>397.78630758684903</v>
      </c>
      <c r="C131" s="149">
        <v>193.7</v>
      </c>
      <c r="D131" s="149"/>
      <c r="E131" s="150" t="s">
        <v>828</v>
      </c>
      <c r="F131" s="149"/>
      <c r="G131" s="149"/>
      <c r="H131" s="151">
        <v>45.303179781458937</v>
      </c>
      <c r="I131" s="152">
        <v>46.168845637155606</v>
      </c>
      <c r="J131" s="152">
        <v>5771.1057046444503</v>
      </c>
      <c r="K131" s="152">
        <v>0.60852649700034289</v>
      </c>
      <c r="L131" s="153">
        <v>24415881.829578437</v>
      </c>
      <c r="M131" s="154">
        <v>252099.96726461992</v>
      </c>
      <c r="N131" s="154">
        <v>337790.2333333334</v>
      </c>
      <c r="O131" s="155">
        <v>65.043917855553545</v>
      </c>
      <c r="P131" s="154">
        <v>24415881.829578437</v>
      </c>
      <c r="Q131" s="154">
        <v>252099.96726461992</v>
      </c>
      <c r="R131" s="154">
        <v>337790.2333333334</v>
      </c>
      <c r="S131" s="152">
        <v>65.043917855553545</v>
      </c>
      <c r="T131" s="153">
        <v>48831763.659156874</v>
      </c>
      <c r="U131" s="156"/>
      <c r="V131" s="157">
        <v>1</v>
      </c>
      <c r="W131" s="158">
        <v>1</v>
      </c>
      <c r="X131" s="158">
        <v>1</v>
      </c>
      <c r="Y131" s="158">
        <v>1</v>
      </c>
      <c r="Z131" s="158">
        <v>1</v>
      </c>
      <c r="AA131" s="159">
        <v>1</v>
      </c>
      <c r="AB131" s="158">
        <v>1</v>
      </c>
      <c r="AC131" s="158">
        <v>1</v>
      </c>
      <c r="AD131" s="158">
        <v>1</v>
      </c>
      <c r="AE131" s="160">
        <v>2</v>
      </c>
      <c r="AF131" s="170">
        <v>1</v>
      </c>
      <c r="AG131" s="158">
        <v>1</v>
      </c>
      <c r="AH131" s="158">
        <v>1</v>
      </c>
      <c r="AI131" s="158">
        <v>1</v>
      </c>
      <c r="AJ131" s="158">
        <v>2</v>
      </c>
      <c r="AK131" s="73">
        <f t="shared" si="13"/>
        <v>105.4436581382689</v>
      </c>
      <c r="AL131" s="162"/>
      <c r="AM131" s="163"/>
      <c r="AN131" s="164"/>
      <c r="AO131" s="170" t="s">
        <v>49</v>
      </c>
      <c r="AP131" s="70">
        <f t="shared" si="8"/>
        <v>0.49</v>
      </c>
      <c r="AQ131" s="72">
        <f>IF(head!F$82="S235",235,IF(head!F$82="S275",275,IF(head!F$82="S355",355,IF(head!F$82="S420",420,460))))^0.5*head!$G$70*1000/(S131*3.1416*210000^0.5)</f>
        <v>2.0120878947074088</v>
      </c>
      <c r="AR131" s="72">
        <f t="shared" si="9"/>
        <v>2.9682103822173613</v>
      </c>
      <c r="AS131" s="72">
        <f t="shared" si="10"/>
        <v>0.19416120020155378</v>
      </c>
      <c r="AT131" s="52">
        <f>IF(head!F$82="S235",235,IF(head!F$82="S275",275,IF(head!F$82="S355",355,IF(head!F$82="S420",420,460))))*AS131*J131/1000</f>
        <v>397.78630758684903</v>
      </c>
      <c r="AU131" s="192" t="s">
        <v>47</v>
      </c>
      <c r="AV131" s="75" t="s">
        <v>47</v>
      </c>
      <c r="AW131" s="75" t="s">
        <v>47</v>
      </c>
      <c r="AX131" s="76" t="s">
        <v>47</v>
      </c>
      <c r="AY131" s="67" t="s">
        <v>47</v>
      </c>
      <c r="AZ131" s="193">
        <v>0</v>
      </c>
      <c r="BA131" s="169" t="str">
        <f t="shared" si="11"/>
        <v>CF CHS 193,7 x 12,5</v>
      </c>
      <c r="BB131" s="145"/>
    </row>
    <row r="132" spans="1:54" s="146" customFormat="1" ht="13.5" customHeight="1">
      <c r="A132" s="147" t="s">
        <v>417</v>
      </c>
      <c r="B132" s="62">
        <f t="shared" si="12"/>
        <v>479.75644823232705</v>
      </c>
      <c r="C132" s="149">
        <v>193.7</v>
      </c>
      <c r="D132" s="149"/>
      <c r="E132" s="150" t="s">
        <v>829</v>
      </c>
      <c r="F132" s="149"/>
      <c r="G132" s="149"/>
      <c r="H132" s="151">
        <v>55.858302778989916</v>
      </c>
      <c r="I132" s="152">
        <v>56.925658883047049</v>
      </c>
      <c r="J132" s="152">
        <v>7115.7073603808813</v>
      </c>
      <c r="K132" s="152">
        <v>0.60852649700034289</v>
      </c>
      <c r="L132" s="153">
        <v>29343122.493710436</v>
      </c>
      <c r="M132" s="154">
        <v>302974.93540227605</v>
      </c>
      <c r="N132" s="154">
        <v>411069.04166666669</v>
      </c>
      <c r="O132" s="155">
        <v>64.21612920442962</v>
      </c>
      <c r="P132" s="154">
        <v>29343122.493710436</v>
      </c>
      <c r="Q132" s="154">
        <v>302974.93540227605</v>
      </c>
      <c r="R132" s="154">
        <v>411069.04166666669</v>
      </c>
      <c r="S132" s="152">
        <v>64.21612920442962</v>
      </c>
      <c r="T132" s="153">
        <v>58686244.987420872</v>
      </c>
      <c r="U132" s="156"/>
      <c r="V132" s="157">
        <v>1</v>
      </c>
      <c r="W132" s="158">
        <v>1</v>
      </c>
      <c r="X132" s="158">
        <v>1</v>
      </c>
      <c r="Y132" s="158">
        <v>1</v>
      </c>
      <c r="Z132" s="158">
        <v>1</v>
      </c>
      <c r="AA132" s="159">
        <v>1</v>
      </c>
      <c r="AB132" s="158">
        <v>1</v>
      </c>
      <c r="AC132" s="158">
        <v>1</v>
      </c>
      <c r="AD132" s="158">
        <v>1</v>
      </c>
      <c r="AE132" s="160">
        <v>1</v>
      </c>
      <c r="AF132" s="170">
        <v>1</v>
      </c>
      <c r="AG132" s="158">
        <v>1</v>
      </c>
      <c r="AH132" s="158">
        <v>1</v>
      </c>
      <c r="AI132" s="158">
        <v>1</v>
      </c>
      <c r="AJ132" s="158">
        <v>1</v>
      </c>
      <c r="AK132" s="73">
        <f t="shared" si="13"/>
        <v>85.518763796909482</v>
      </c>
      <c r="AL132" s="162"/>
      <c r="AM132" s="163"/>
      <c r="AN132" s="164"/>
      <c r="AO132" s="170" t="s">
        <v>49</v>
      </c>
      <c r="AP132" s="70">
        <f t="shared" si="8"/>
        <v>0.49</v>
      </c>
      <c r="AQ132" s="72">
        <f>IF(head!F$82="S235",235,IF(head!F$82="S275",275,IF(head!F$82="S355",355,IF(head!F$82="S420",420,460))))^0.5*head!$G$70*1000/(S132*3.1416*210000^0.5)</f>
        <v>2.03802504702315</v>
      </c>
      <c r="AR132" s="72">
        <f t="shared" si="9"/>
        <v>3.0270891826675284</v>
      </c>
      <c r="AS132" s="72">
        <f t="shared" si="10"/>
        <v>0.18992161232816801</v>
      </c>
      <c r="AT132" s="52">
        <f>IF(head!F$82="S235",235,IF(head!F$82="S275",275,IF(head!F$82="S355",355,IF(head!F$82="S420",420,460))))*AS132*J132/1000</f>
        <v>479.75644823232705</v>
      </c>
      <c r="AU132" s="192" t="s">
        <v>47</v>
      </c>
      <c r="AV132" s="75" t="s">
        <v>47</v>
      </c>
      <c r="AW132" s="75" t="s">
        <v>47</v>
      </c>
      <c r="AX132" s="76" t="s">
        <v>47</v>
      </c>
      <c r="AY132" s="67" t="s">
        <v>47</v>
      </c>
      <c r="AZ132" s="193">
        <v>0</v>
      </c>
      <c r="BA132" s="169" t="str">
        <f t="shared" si="11"/>
        <v>CF CHS 193,7 x 14,2</v>
      </c>
      <c r="BB132" s="145"/>
    </row>
    <row r="133" spans="1:54" s="146" customFormat="1" ht="13.5" customHeight="1">
      <c r="A133" s="147" t="s">
        <v>418</v>
      </c>
      <c r="B133" s="62">
        <f t="shared" si="12"/>
        <v>531.85144751378971</v>
      </c>
      <c r="C133" s="149">
        <v>193.7</v>
      </c>
      <c r="D133" s="149"/>
      <c r="E133" s="150" t="s">
        <v>830</v>
      </c>
      <c r="F133" s="149"/>
      <c r="G133" s="149"/>
      <c r="H133" s="151">
        <v>62.859703290669948</v>
      </c>
      <c r="I133" s="152">
        <v>64.060844117880208</v>
      </c>
      <c r="J133" s="152">
        <v>8007.6055147350253</v>
      </c>
      <c r="K133" s="152">
        <v>0.60852649700034289</v>
      </c>
      <c r="L133" s="153">
        <v>32452713.145266533</v>
      </c>
      <c r="M133" s="154">
        <v>335082.22142763593</v>
      </c>
      <c r="N133" s="154">
        <v>458481.97933333338</v>
      </c>
      <c r="O133" s="155">
        <v>63.661104687242101</v>
      </c>
      <c r="P133" s="154">
        <v>32452713.145266533</v>
      </c>
      <c r="Q133" s="154">
        <v>335082.22142763593</v>
      </c>
      <c r="R133" s="154">
        <v>458481.97933333338</v>
      </c>
      <c r="S133" s="152">
        <v>63.661104687242101</v>
      </c>
      <c r="T133" s="153">
        <v>64905426.290533066</v>
      </c>
      <c r="U133" s="156"/>
      <c r="V133" s="157">
        <v>1</v>
      </c>
      <c r="W133" s="158">
        <v>1</v>
      </c>
      <c r="X133" s="158">
        <v>1</v>
      </c>
      <c r="Y133" s="158">
        <v>1</v>
      </c>
      <c r="Z133" s="158">
        <v>1</v>
      </c>
      <c r="AA133" s="159">
        <v>1</v>
      </c>
      <c r="AB133" s="158">
        <v>1</v>
      </c>
      <c r="AC133" s="158">
        <v>1</v>
      </c>
      <c r="AD133" s="158">
        <v>1</v>
      </c>
      <c r="AE133" s="160">
        <v>1</v>
      </c>
      <c r="AF133" s="170">
        <v>1</v>
      </c>
      <c r="AG133" s="158">
        <v>1</v>
      </c>
      <c r="AH133" s="158">
        <v>1</v>
      </c>
      <c r="AI133" s="158">
        <v>1</v>
      </c>
      <c r="AJ133" s="158">
        <v>1</v>
      </c>
      <c r="AK133" s="73">
        <f t="shared" si="13"/>
        <v>75.993565851936111</v>
      </c>
      <c r="AL133" s="162"/>
      <c r="AM133" s="163"/>
      <c r="AN133" s="164"/>
      <c r="AO133" s="170" t="s">
        <v>49</v>
      </c>
      <c r="AP133" s="70">
        <f t="shared" si="8"/>
        <v>0.49</v>
      </c>
      <c r="AQ133" s="72">
        <f>IF(head!F$82="S235",235,IF(head!F$82="S275",275,IF(head!F$82="S355",355,IF(head!F$82="S420",420,460))))^0.5*head!$G$70*1000/(S133*3.1416*210000^0.5)</f>
        <v>2.0557934139608163</v>
      </c>
      <c r="AR133" s="72">
        <f t="shared" si="9"/>
        <v>3.0678126668627343</v>
      </c>
      <c r="AS133" s="72">
        <f t="shared" si="10"/>
        <v>0.1870937683969707</v>
      </c>
      <c r="AT133" s="52">
        <f>IF(head!F$82="S235",235,IF(head!F$82="S275",275,IF(head!F$82="S355",355,IF(head!F$82="S420",420,460))))*AS133*J133/1000</f>
        <v>531.85144751378971</v>
      </c>
      <c r="AU133" s="192" t="s">
        <v>47</v>
      </c>
      <c r="AV133" s="75" t="s">
        <v>47</v>
      </c>
      <c r="AW133" s="75" t="s">
        <v>47</v>
      </c>
      <c r="AX133" s="76" t="s">
        <v>47</v>
      </c>
      <c r="AY133" s="67" t="s">
        <v>47</v>
      </c>
      <c r="AZ133" s="193">
        <v>0</v>
      </c>
      <c r="BA133" s="169" t="str">
        <f t="shared" si="11"/>
        <v>CF CHS 193,7 x 16</v>
      </c>
      <c r="BB133" s="145"/>
    </row>
    <row r="134" spans="1:54" s="146" customFormat="1" ht="13.5" customHeight="1">
      <c r="A134" s="147" t="s">
        <v>419</v>
      </c>
      <c r="B134" s="62">
        <f t="shared" si="12"/>
        <v>583.92245791044866</v>
      </c>
      <c r="C134" s="149">
        <v>193.7</v>
      </c>
      <c r="D134" s="149"/>
      <c r="E134" s="150" t="s">
        <v>831</v>
      </c>
      <c r="F134" s="149"/>
      <c r="G134" s="149"/>
      <c r="H134" s="151">
        <v>70.117583426589007</v>
      </c>
      <c r="I134" s="152">
        <v>71.457409861491982</v>
      </c>
      <c r="J134" s="152">
        <v>8932.1762326864991</v>
      </c>
      <c r="K134" s="152">
        <v>0.60852649700034289</v>
      </c>
      <c r="L134" s="153">
        <v>35542569.543277085</v>
      </c>
      <c r="M134" s="154">
        <v>366985.74644581409</v>
      </c>
      <c r="N134" s="154">
        <v>506601.97333333333</v>
      </c>
      <c r="O134" s="155">
        <v>63.08059329143947</v>
      </c>
      <c r="P134" s="154">
        <v>35542569.543277085</v>
      </c>
      <c r="Q134" s="154">
        <v>366985.74644581409</v>
      </c>
      <c r="R134" s="154">
        <v>506601.97333333333</v>
      </c>
      <c r="S134" s="152">
        <v>63.08059329143947</v>
      </c>
      <c r="T134" s="153">
        <v>71085139.08655417</v>
      </c>
      <c r="U134" s="156"/>
      <c r="V134" s="157">
        <v>1</v>
      </c>
      <c r="W134" s="158">
        <v>1</v>
      </c>
      <c r="X134" s="158">
        <v>1</v>
      </c>
      <c r="Y134" s="158">
        <v>1</v>
      </c>
      <c r="Z134" s="158">
        <v>1</v>
      </c>
      <c r="AA134" s="159">
        <v>1</v>
      </c>
      <c r="AB134" s="158">
        <v>1</v>
      </c>
      <c r="AC134" s="158">
        <v>1</v>
      </c>
      <c r="AD134" s="158">
        <v>1</v>
      </c>
      <c r="AE134" s="160">
        <v>1</v>
      </c>
      <c r="AF134" s="170">
        <v>1</v>
      </c>
      <c r="AG134" s="158">
        <v>1</v>
      </c>
      <c r="AH134" s="158">
        <v>1</v>
      </c>
      <c r="AI134" s="158">
        <v>1</v>
      </c>
      <c r="AJ134" s="158">
        <v>1</v>
      </c>
      <c r="AK134" s="73">
        <f t="shared" si="13"/>
        <v>68.127462014631405</v>
      </c>
      <c r="AL134" s="162"/>
      <c r="AM134" s="163"/>
      <c r="AN134" s="164"/>
      <c r="AO134" s="170" t="s">
        <v>49</v>
      </c>
      <c r="AP134" s="70">
        <f t="shared" ref="AP134:AP197" si="14">IF(AO134="a0",0.13,IF(AO134="a",0.21,IF(AO134="b",0.34,IF(AO134="c",0.49,0.76))))</f>
        <v>0.49</v>
      </c>
      <c r="AQ134" s="72">
        <f>IF(head!F$82="S235",235,IF(head!F$82="S275",275,IF(head!F$82="S355",355,IF(head!F$82="S420",420,460))))^0.5*head!$G$70*1000/(S134*3.1416*210000^0.5)</f>
        <v>2.074712251624669</v>
      </c>
      <c r="AR134" s="72">
        <f t="shared" ref="AR134:AR194" si="15">0.5*(1+AP134*(AQ134-0.2)+AQ134^2)</f>
        <v>3.1115199651687959</v>
      </c>
      <c r="AS134" s="72">
        <f t="shared" ref="AS134:AS194" si="16">IF(AQ134&lt;=0.2,1,1/(AR134+(AR134^2-AQ134^2)^0.5))</f>
        <v>0.18414907535016506</v>
      </c>
      <c r="AT134" s="52">
        <f>IF(head!F$82="S235",235,IF(head!F$82="S275",275,IF(head!F$82="S355",355,IF(head!F$82="S420",420,460))))*AS134*J134/1000</f>
        <v>583.92245791044866</v>
      </c>
      <c r="AU134" s="192" t="s">
        <v>47</v>
      </c>
      <c r="AV134" s="75" t="s">
        <v>47</v>
      </c>
      <c r="AW134" s="75" t="s">
        <v>47</v>
      </c>
      <c r="AX134" s="76" t="s">
        <v>47</v>
      </c>
      <c r="AY134" s="67" t="s">
        <v>47</v>
      </c>
      <c r="AZ134" s="193">
        <v>0</v>
      </c>
      <c r="BA134" s="169" t="str">
        <f t="shared" ref="BA134:BA193" si="17">A135</f>
        <v>CF CHS 193,7 x 20</v>
      </c>
      <c r="BB134" s="145"/>
    </row>
    <row r="135" spans="1:54" s="146" customFormat="1" ht="13.5" customHeight="1">
      <c r="A135" s="147" t="s">
        <v>420</v>
      </c>
      <c r="B135" s="62">
        <f t="shared" si="12"/>
        <v>688.84158316419428</v>
      </c>
      <c r="C135" s="149">
        <v>193.7</v>
      </c>
      <c r="D135" s="149"/>
      <c r="E135" s="150" t="s">
        <v>833</v>
      </c>
      <c r="F135" s="149"/>
      <c r="G135" s="149"/>
      <c r="H135" s="151">
        <v>85.674059096781889</v>
      </c>
      <c r="I135" s="152">
        <v>87.311143028567528</v>
      </c>
      <c r="J135" s="152">
        <v>10913.892878570941</v>
      </c>
      <c r="K135" s="152">
        <v>0.60852649700034289</v>
      </c>
      <c r="L135" s="153">
        <v>41707018.722109795</v>
      </c>
      <c r="M135" s="154">
        <v>430635.19589168613</v>
      </c>
      <c r="N135" s="154">
        <v>606100.46666666667</v>
      </c>
      <c r="O135" s="155">
        <v>61.817968666076361</v>
      </c>
      <c r="P135" s="154">
        <v>41707018.722109795</v>
      </c>
      <c r="Q135" s="154">
        <v>430635.19589168613</v>
      </c>
      <c r="R135" s="154">
        <v>606100.46666666667</v>
      </c>
      <c r="S135" s="152">
        <v>61.817968666076361</v>
      </c>
      <c r="T135" s="153">
        <v>83414037.444219589</v>
      </c>
      <c r="U135" s="156"/>
      <c r="V135" s="157">
        <v>1</v>
      </c>
      <c r="W135" s="158">
        <v>1</v>
      </c>
      <c r="X135" s="158">
        <v>1</v>
      </c>
      <c r="Y135" s="158">
        <v>1</v>
      </c>
      <c r="Z135" s="158">
        <v>1</v>
      </c>
      <c r="AA135" s="159">
        <v>1</v>
      </c>
      <c r="AB135" s="158">
        <v>1</v>
      </c>
      <c r="AC135" s="158">
        <v>1</v>
      </c>
      <c r="AD135" s="158">
        <v>1</v>
      </c>
      <c r="AE135" s="160">
        <v>1</v>
      </c>
      <c r="AF135" s="170">
        <v>1</v>
      </c>
      <c r="AG135" s="158">
        <v>1</v>
      </c>
      <c r="AH135" s="158">
        <v>1</v>
      </c>
      <c r="AI135" s="158">
        <v>1</v>
      </c>
      <c r="AJ135" s="158">
        <v>1</v>
      </c>
      <c r="AK135" s="73">
        <f t="shared" si="13"/>
        <v>55.757052389176735</v>
      </c>
      <c r="AL135" s="162"/>
      <c r="AM135" s="163"/>
      <c r="AN135" s="164"/>
      <c r="AO135" s="170" t="s">
        <v>49</v>
      </c>
      <c r="AP135" s="70">
        <f t="shared" si="14"/>
        <v>0.49</v>
      </c>
      <c r="AQ135" s="72">
        <f>IF(head!F$82="S235",235,IF(head!F$82="S275",275,IF(head!F$82="S355",355,IF(head!F$82="S420",420,460))))^0.5*head!$G$70*1000/(S135*3.1416*210000^0.5)</f>
        <v>2.1170880015234421</v>
      </c>
      <c r="AR135" s="72">
        <f t="shared" si="15"/>
        <v>3.2107173634705042</v>
      </c>
      <c r="AS135" s="72">
        <f t="shared" si="16"/>
        <v>0.17779163195055167</v>
      </c>
      <c r="AT135" s="52">
        <f>IF(head!F$82="S235",235,IF(head!F$82="S275",275,IF(head!F$82="S355",355,IF(head!F$82="S420",420,460))))*AS135*J135/1000</f>
        <v>688.84158316419428</v>
      </c>
      <c r="AU135" s="192" t="s">
        <v>47</v>
      </c>
      <c r="AV135" s="75" t="s">
        <v>47</v>
      </c>
      <c r="AW135" s="75" t="s">
        <v>47</v>
      </c>
      <c r="AX135" s="76" t="s">
        <v>47</v>
      </c>
      <c r="AY135" s="67" t="s">
        <v>47</v>
      </c>
      <c r="AZ135" s="193">
        <v>0</v>
      </c>
      <c r="BA135" s="169" t="str">
        <f t="shared" si="17"/>
        <v>CF CHS 219,1 x 5</v>
      </c>
      <c r="BB135" s="145"/>
    </row>
    <row r="136" spans="1:54" s="146" customFormat="1" ht="13.5" customHeight="1">
      <c r="A136" s="147" t="s">
        <v>242</v>
      </c>
      <c r="B136" s="62">
        <f t="shared" si="12"/>
        <v>299.42367541525937</v>
      </c>
      <c r="C136" s="149">
        <v>219.1</v>
      </c>
      <c r="D136" s="149"/>
      <c r="E136" s="150">
        <v>5</v>
      </c>
      <c r="F136" s="149"/>
      <c r="G136" s="149"/>
      <c r="H136" s="151">
        <v>26.400138244992807</v>
      </c>
      <c r="I136" s="152">
        <v>26.904599485342988</v>
      </c>
      <c r="J136" s="152">
        <v>3363.0749356678734</v>
      </c>
      <c r="K136" s="152">
        <v>0.68832295040152358</v>
      </c>
      <c r="L136" s="153">
        <v>19280428.733154193</v>
      </c>
      <c r="M136" s="154">
        <v>175996.6109826946</v>
      </c>
      <c r="N136" s="154">
        <v>229235.71666666679</v>
      </c>
      <c r="O136" s="155">
        <v>75.716419949704431</v>
      </c>
      <c r="P136" s="154">
        <v>19280428.733154193</v>
      </c>
      <c r="Q136" s="154">
        <v>175996.6109826946</v>
      </c>
      <c r="R136" s="154">
        <v>229235.71666666679</v>
      </c>
      <c r="S136" s="152">
        <v>75.716419949704431</v>
      </c>
      <c r="T136" s="153">
        <v>38560857.466308385</v>
      </c>
      <c r="U136" s="156"/>
      <c r="V136" s="157">
        <v>1</v>
      </c>
      <c r="W136" s="158">
        <v>2</v>
      </c>
      <c r="X136" s="158">
        <v>2</v>
      </c>
      <c r="Y136" s="158">
        <v>3</v>
      </c>
      <c r="Z136" s="158">
        <v>3</v>
      </c>
      <c r="AA136" s="159">
        <v>2</v>
      </c>
      <c r="AB136" s="158">
        <v>3</v>
      </c>
      <c r="AC136" s="158">
        <v>4</v>
      </c>
      <c r="AD136" s="158">
        <v>4</v>
      </c>
      <c r="AE136" s="160">
        <v>4</v>
      </c>
      <c r="AF136" s="170">
        <v>2</v>
      </c>
      <c r="AG136" s="158">
        <v>3</v>
      </c>
      <c r="AH136" s="158">
        <v>4</v>
      </c>
      <c r="AI136" s="158">
        <v>4</v>
      </c>
      <c r="AJ136" s="158">
        <v>4</v>
      </c>
      <c r="AK136" s="73">
        <f t="shared" si="13"/>
        <v>204.67071461933674</v>
      </c>
      <c r="AL136" s="162"/>
      <c r="AM136" s="163"/>
      <c r="AN136" s="164"/>
      <c r="AO136" s="170" t="s">
        <v>49</v>
      </c>
      <c r="AP136" s="70">
        <f t="shared" si="14"/>
        <v>0.49</v>
      </c>
      <c r="AQ136" s="72">
        <f>IF(head!F$82="S235",235,IF(head!F$82="S275",275,IF(head!F$82="S355",355,IF(head!F$82="S420",420,460))))^0.5*head!$G$70*1000/(S136*3.1416*210000^0.5)</f>
        <v>1.7284768591599693</v>
      </c>
      <c r="AR136" s="72">
        <f t="shared" si="15"/>
        <v>2.3682929568199489</v>
      </c>
      <c r="AS136" s="72">
        <f t="shared" si="16"/>
        <v>0.25079636616340528</v>
      </c>
      <c r="AT136" s="52">
        <f>IF(head!F$82="S235",235,IF(head!F$82="S275",275,IF(head!F$82="S355",355,IF(head!F$82="S420",420,460))))*AS136*J136/1000</f>
        <v>299.42367541525937</v>
      </c>
      <c r="AU136" s="192" t="s">
        <v>47</v>
      </c>
      <c r="AV136" s="75" t="s">
        <v>47</v>
      </c>
      <c r="AW136" s="75" t="s">
        <v>47</v>
      </c>
      <c r="AX136" s="76" t="s">
        <v>47</v>
      </c>
      <c r="AY136" s="67" t="s">
        <v>47</v>
      </c>
      <c r="AZ136" s="193">
        <v>0</v>
      </c>
      <c r="BA136" s="169" t="str">
        <f t="shared" si="17"/>
        <v>CF CHS 219,1 x 5,6</v>
      </c>
      <c r="BB136" s="145"/>
    </row>
    <row r="137" spans="1:54" s="146" customFormat="1" ht="13.5" customHeight="1">
      <c r="A137" s="147" t="s">
        <v>421</v>
      </c>
      <c r="B137" s="62">
        <f t="shared" si="12"/>
        <v>332.91354545654832</v>
      </c>
      <c r="C137" s="149">
        <v>219.1</v>
      </c>
      <c r="D137" s="149"/>
      <c r="E137" s="150">
        <v>5.6</v>
      </c>
      <c r="F137" s="149"/>
      <c r="G137" s="149"/>
      <c r="H137" s="151">
        <v>29.485292186560823</v>
      </c>
      <c r="I137" s="152">
        <v>30.048705413055615</v>
      </c>
      <c r="J137" s="152">
        <v>3756.0881766319521</v>
      </c>
      <c r="K137" s="152">
        <v>0.68832295040152358</v>
      </c>
      <c r="L137" s="153">
        <v>21416092.651812624</v>
      </c>
      <c r="M137" s="154">
        <v>195491.48929085006</v>
      </c>
      <c r="N137" s="154">
        <v>255319.13866666643</v>
      </c>
      <c r="O137" s="155">
        <v>75.509610315508851</v>
      </c>
      <c r="P137" s="154">
        <v>21416092.651812624</v>
      </c>
      <c r="Q137" s="154">
        <v>195491.48929085006</v>
      </c>
      <c r="R137" s="154">
        <v>255319.13866666643</v>
      </c>
      <c r="S137" s="152">
        <v>75.509610315508851</v>
      </c>
      <c r="T137" s="153">
        <v>42832185.303625248</v>
      </c>
      <c r="U137" s="156"/>
      <c r="V137" s="157">
        <v>1</v>
      </c>
      <c r="W137" s="158">
        <v>1</v>
      </c>
      <c r="X137" s="158">
        <v>2</v>
      </c>
      <c r="Y137" s="158">
        <v>2</v>
      </c>
      <c r="Z137" s="158">
        <v>3</v>
      </c>
      <c r="AA137" s="159">
        <v>2</v>
      </c>
      <c r="AB137" s="158">
        <v>2</v>
      </c>
      <c r="AC137" s="158">
        <v>3</v>
      </c>
      <c r="AD137" s="158">
        <v>4</v>
      </c>
      <c r="AE137" s="160">
        <v>4</v>
      </c>
      <c r="AF137" s="170">
        <v>2</v>
      </c>
      <c r="AG137" s="158">
        <v>2</v>
      </c>
      <c r="AH137" s="158">
        <v>3</v>
      </c>
      <c r="AI137" s="158">
        <v>4</v>
      </c>
      <c r="AJ137" s="158">
        <v>4</v>
      </c>
      <c r="AK137" s="73">
        <f t="shared" si="13"/>
        <v>183.25526932084327</v>
      </c>
      <c r="AL137" s="162"/>
      <c r="AM137" s="163"/>
      <c r="AN137" s="164"/>
      <c r="AO137" s="170" t="s">
        <v>49</v>
      </c>
      <c r="AP137" s="70">
        <f t="shared" si="14"/>
        <v>0.49</v>
      </c>
      <c r="AQ137" s="72">
        <f>IF(head!F$82="S235",235,IF(head!F$82="S275",275,IF(head!F$82="S355",355,IF(head!F$82="S420",420,460))))^0.5*head!$G$70*1000/(S137*3.1416*210000^0.5)</f>
        <v>1.7332109011642223</v>
      </c>
      <c r="AR137" s="72">
        <f t="shared" si="15"/>
        <v>2.3776466847424822</v>
      </c>
      <c r="AS137" s="72">
        <f t="shared" si="16"/>
        <v>0.24967055910007177</v>
      </c>
      <c r="AT137" s="52">
        <f>IF(head!F$82="S235",235,IF(head!F$82="S275",275,IF(head!F$82="S355",355,IF(head!F$82="S420",420,460))))*AS137*J137/1000</f>
        <v>332.91354545654832</v>
      </c>
      <c r="AU137" s="192" t="s">
        <v>47</v>
      </c>
      <c r="AV137" s="75" t="s">
        <v>47</v>
      </c>
      <c r="AW137" s="75" t="s">
        <v>47</v>
      </c>
      <c r="AX137" s="76" t="s">
        <v>47</v>
      </c>
      <c r="AY137" s="67" t="s">
        <v>47</v>
      </c>
      <c r="AZ137" s="193">
        <v>0</v>
      </c>
      <c r="BA137" s="169" t="str">
        <f t="shared" si="17"/>
        <v>CF CHS 219,1 x 6,3</v>
      </c>
      <c r="BB137" s="145"/>
    </row>
    <row r="138" spans="1:54" s="146" customFormat="1" ht="13.5" customHeight="1">
      <c r="A138" s="147" t="s">
        <v>422</v>
      </c>
      <c r="B138" s="62">
        <f t="shared" si="12"/>
        <v>371.34407931643233</v>
      </c>
      <c r="C138" s="149">
        <v>219.1</v>
      </c>
      <c r="D138" s="149"/>
      <c r="E138" s="150" t="s">
        <v>824</v>
      </c>
      <c r="F138" s="149"/>
      <c r="G138" s="149"/>
      <c r="H138" s="151">
        <v>33.062196484602651</v>
      </c>
      <c r="I138" s="152">
        <v>33.693958200868941</v>
      </c>
      <c r="J138" s="152">
        <v>4211.7447751086183</v>
      </c>
      <c r="K138" s="152">
        <v>0.68832295040152358</v>
      </c>
      <c r="L138" s="153">
        <v>23861392.58337234</v>
      </c>
      <c r="M138" s="154">
        <v>217812.80313438925</v>
      </c>
      <c r="N138" s="154">
        <v>285371.54099999985</v>
      </c>
      <c r="O138" s="155">
        <v>75.26912547651925</v>
      </c>
      <c r="P138" s="154">
        <v>23861392.58337234</v>
      </c>
      <c r="Q138" s="154">
        <v>217812.80313438925</v>
      </c>
      <c r="R138" s="154">
        <v>285371.54099999985</v>
      </c>
      <c r="S138" s="152">
        <v>75.26912547651925</v>
      </c>
      <c r="T138" s="153">
        <v>47722785.166744679</v>
      </c>
      <c r="U138" s="156"/>
      <c r="V138" s="157">
        <v>1</v>
      </c>
      <c r="W138" s="158">
        <v>1</v>
      </c>
      <c r="X138" s="158">
        <v>2</v>
      </c>
      <c r="Y138" s="158">
        <v>2</v>
      </c>
      <c r="Z138" s="158">
        <v>2</v>
      </c>
      <c r="AA138" s="159">
        <v>1</v>
      </c>
      <c r="AB138" s="158">
        <v>2</v>
      </c>
      <c r="AC138" s="158">
        <v>3</v>
      </c>
      <c r="AD138" s="158">
        <v>3</v>
      </c>
      <c r="AE138" s="160">
        <v>4</v>
      </c>
      <c r="AF138" s="170">
        <v>1</v>
      </c>
      <c r="AG138" s="158">
        <v>2</v>
      </c>
      <c r="AH138" s="158">
        <v>3</v>
      </c>
      <c r="AI138" s="158">
        <v>3</v>
      </c>
      <c r="AJ138" s="158">
        <v>4</v>
      </c>
      <c r="AK138" s="73">
        <f t="shared" si="13"/>
        <v>163.42940685045951</v>
      </c>
      <c r="AL138" s="162"/>
      <c r="AM138" s="163"/>
      <c r="AN138" s="164"/>
      <c r="AO138" s="170" t="s">
        <v>49</v>
      </c>
      <c r="AP138" s="70">
        <f t="shared" si="14"/>
        <v>0.49</v>
      </c>
      <c r="AQ138" s="72">
        <f>IF(head!F$82="S235",235,IF(head!F$82="S275",275,IF(head!F$82="S355",355,IF(head!F$82="S420",420,460))))^0.5*head!$G$70*1000/(S138*3.1416*210000^0.5)</f>
        <v>1.7387485096041069</v>
      </c>
      <c r="AR138" s="72">
        <f t="shared" si="15"/>
        <v>2.3886165746782577</v>
      </c>
      <c r="AS138" s="72">
        <f t="shared" si="16"/>
        <v>0.24836254709173627</v>
      </c>
      <c r="AT138" s="52">
        <f>IF(head!F$82="S235",235,IF(head!F$82="S275",275,IF(head!F$82="S355",355,IF(head!F$82="S420",420,460))))*AS138*J138/1000</f>
        <v>371.34407931643233</v>
      </c>
      <c r="AU138" s="192" t="s">
        <v>47</v>
      </c>
      <c r="AV138" s="75" t="s">
        <v>47</v>
      </c>
      <c r="AW138" s="75" t="s">
        <v>47</v>
      </c>
      <c r="AX138" s="76" t="s">
        <v>47</v>
      </c>
      <c r="AY138" s="67" t="s">
        <v>47</v>
      </c>
      <c r="AZ138" s="193">
        <v>0</v>
      </c>
      <c r="BA138" s="169" t="str">
        <f t="shared" si="17"/>
        <v>CF CHS 219,1 x 7,1</v>
      </c>
      <c r="BB138" s="145"/>
    </row>
    <row r="139" spans="1:54" s="146" customFormat="1" ht="13.5" customHeight="1">
      <c r="A139" s="147" t="s">
        <v>423</v>
      </c>
      <c r="B139" s="62">
        <f t="shared" si="12"/>
        <v>414.42827416212259</v>
      </c>
      <c r="C139" s="149">
        <v>219.1</v>
      </c>
      <c r="D139" s="149"/>
      <c r="E139" s="150" t="s">
        <v>825</v>
      </c>
      <c r="F139" s="149"/>
      <c r="G139" s="149"/>
      <c r="H139" s="151">
        <v>37.120493308139324</v>
      </c>
      <c r="I139" s="152">
        <v>37.829802097466825</v>
      </c>
      <c r="J139" s="152">
        <v>4728.7252621833532</v>
      </c>
      <c r="K139" s="152">
        <v>0.68832295040152358</v>
      </c>
      <c r="L139" s="153">
        <v>26595775.403004412</v>
      </c>
      <c r="M139" s="154">
        <v>242772.93841172446</v>
      </c>
      <c r="N139" s="154">
        <v>319221.70366666652</v>
      </c>
      <c r="O139" s="155">
        <v>74.995341521990554</v>
      </c>
      <c r="P139" s="154">
        <v>26595775.403004412</v>
      </c>
      <c r="Q139" s="154">
        <v>242772.93841172446</v>
      </c>
      <c r="R139" s="154">
        <v>319221.70366666652</v>
      </c>
      <c r="S139" s="152">
        <v>74.995341521990554</v>
      </c>
      <c r="T139" s="153">
        <v>53191550.806008823</v>
      </c>
      <c r="U139" s="156"/>
      <c r="V139" s="157">
        <v>1</v>
      </c>
      <c r="W139" s="158">
        <v>1</v>
      </c>
      <c r="X139" s="158">
        <v>1</v>
      </c>
      <c r="Y139" s="158">
        <v>2</v>
      </c>
      <c r="Z139" s="158">
        <v>2</v>
      </c>
      <c r="AA139" s="159">
        <v>1</v>
      </c>
      <c r="AB139" s="158">
        <v>1</v>
      </c>
      <c r="AC139" s="158">
        <v>2</v>
      </c>
      <c r="AD139" s="158">
        <v>3</v>
      </c>
      <c r="AE139" s="160">
        <v>3</v>
      </c>
      <c r="AF139" s="170">
        <v>1</v>
      </c>
      <c r="AG139" s="158">
        <v>1</v>
      </c>
      <c r="AH139" s="158">
        <v>2</v>
      </c>
      <c r="AI139" s="158">
        <v>3</v>
      </c>
      <c r="AJ139" s="158">
        <v>3</v>
      </c>
      <c r="AK139" s="73">
        <f t="shared" si="13"/>
        <v>145.56205155461078</v>
      </c>
      <c r="AL139" s="162"/>
      <c r="AM139" s="163"/>
      <c r="AN139" s="164"/>
      <c r="AO139" s="170" t="s">
        <v>49</v>
      </c>
      <c r="AP139" s="70">
        <f t="shared" si="14"/>
        <v>0.49</v>
      </c>
      <c r="AQ139" s="72">
        <f>IF(head!F$82="S235",235,IF(head!F$82="S275",275,IF(head!F$82="S355",355,IF(head!F$82="S420",420,460))))^0.5*head!$G$70*1000/(S139*3.1416*210000^0.5)</f>
        <v>1.7450961231122164</v>
      </c>
      <c r="AR139" s="72">
        <f t="shared" si="15"/>
        <v>2.4012287896131372</v>
      </c>
      <c r="AS139" s="72">
        <f t="shared" si="16"/>
        <v>0.24687490274071505</v>
      </c>
      <c r="AT139" s="52">
        <f>IF(head!F$82="S235",235,IF(head!F$82="S275",275,IF(head!F$82="S355",355,IF(head!F$82="S420",420,460))))*AS139*J139/1000</f>
        <v>414.42827416212259</v>
      </c>
      <c r="AU139" s="192" t="s">
        <v>47</v>
      </c>
      <c r="AV139" s="75" t="s">
        <v>47</v>
      </c>
      <c r="AW139" s="75" t="s">
        <v>47</v>
      </c>
      <c r="AX139" s="76" t="s">
        <v>47</v>
      </c>
      <c r="AY139" s="67" t="s">
        <v>47</v>
      </c>
      <c r="AZ139" s="193">
        <v>0</v>
      </c>
      <c r="BA139" s="169" t="str">
        <f t="shared" si="17"/>
        <v>CF CHS 219,1 x 8</v>
      </c>
      <c r="BB139" s="145"/>
    </row>
    <row r="140" spans="1:54" s="146" customFormat="1" ht="13.5" customHeight="1">
      <c r="A140" s="147" t="s">
        <v>424</v>
      </c>
      <c r="B140" s="62">
        <f t="shared" si="12"/>
        <v>461.8444294311164</v>
      </c>
      <c r="C140" s="149">
        <v>219.1</v>
      </c>
      <c r="D140" s="149"/>
      <c r="E140" s="150" t="s">
        <v>826</v>
      </c>
      <c r="F140" s="149"/>
      <c r="G140" s="149"/>
      <c r="H140" s="151">
        <v>41.64834513605215</v>
      </c>
      <c r="I140" s="152">
        <v>42.444173387059514</v>
      </c>
      <c r="J140" s="152">
        <v>5305.52167338244</v>
      </c>
      <c r="K140" s="152">
        <v>0.68832295040152358</v>
      </c>
      <c r="L140" s="153">
        <v>29596328.734698702</v>
      </c>
      <c r="M140" s="154">
        <v>270162.74518209678</v>
      </c>
      <c r="N140" s="154">
        <v>356676.3466666665</v>
      </c>
      <c r="O140" s="155">
        <v>74.688695597125019</v>
      </c>
      <c r="P140" s="154">
        <v>29596328.734698702</v>
      </c>
      <c r="Q140" s="154">
        <v>270162.74518209678</v>
      </c>
      <c r="R140" s="154">
        <v>356676.3466666665</v>
      </c>
      <c r="S140" s="152">
        <v>74.688695597125019</v>
      </c>
      <c r="T140" s="153">
        <v>59192657.469397403</v>
      </c>
      <c r="U140" s="156"/>
      <c r="V140" s="157">
        <v>1</v>
      </c>
      <c r="W140" s="158">
        <v>1</v>
      </c>
      <c r="X140" s="158">
        <v>1</v>
      </c>
      <c r="Y140" s="158">
        <v>1</v>
      </c>
      <c r="Z140" s="158">
        <v>2</v>
      </c>
      <c r="AA140" s="159">
        <v>1</v>
      </c>
      <c r="AB140" s="158">
        <v>1</v>
      </c>
      <c r="AC140" s="158">
        <v>2</v>
      </c>
      <c r="AD140" s="158">
        <v>2</v>
      </c>
      <c r="AE140" s="160">
        <v>3</v>
      </c>
      <c r="AF140" s="170">
        <v>1</v>
      </c>
      <c r="AG140" s="158">
        <v>1</v>
      </c>
      <c r="AH140" s="158">
        <v>2</v>
      </c>
      <c r="AI140" s="158">
        <v>2</v>
      </c>
      <c r="AJ140" s="158">
        <v>3</v>
      </c>
      <c r="AK140" s="73">
        <f t="shared" si="13"/>
        <v>129.73709142586458</v>
      </c>
      <c r="AL140" s="162"/>
      <c r="AM140" s="163"/>
      <c r="AN140" s="164"/>
      <c r="AO140" s="170" t="s">
        <v>49</v>
      </c>
      <c r="AP140" s="70">
        <f t="shared" si="14"/>
        <v>0.49</v>
      </c>
      <c r="AQ140" s="72">
        <f>IF(head!F$82="S235",235,IF(head!F$82="S275",275,IF(head!F$82="S355",355,IF(head!F$82="S420",420,460))))^0.5*head!$G$70*1000/(S140*3.1416*210000^0.5)</f>
        <v>1.7522608835940101</v>
      </c>
      <c r="AR140" s="72">
        <f t="shared" si="15"/>
        <v>2.415513018567363</v>
      </c>
      <c r="AS140" s="72">
        <f t="shared" si="16"/>
        <v>0.24521061336466343</v>
      </c>
      <c r="AT140" s="52">
        <f>IF(head!F$82="S235",235,IF(head!F$82="S275",275,IF(head!F$82="S355",355,IF(head!F$82="S420",420,460))))*AS140*J140/1000</f>
        <v>461.8444294311164</v>
      </c>
      <c r="AU140" s="192" t="s">
        <v>47</v>
      </c>
      <c r="AV140" s="75" t="s">
        <v>47</v>
      </c>
      <c r="AW140" s="75" t="s">
        <v>47</v>
      </c>
      <c r="AX140" s="76" t="s">
        <v>47</v>
      </c>
      <c r="AY140" s="67" t="s">
        <v>47</v>
      </c>
      <c r="AZ140" s="193">
        <v>0</v>
      </c>
      <c r="BA140" s="169" t="str">
        <f t="shared" si="17"/>
        <v>CF CHS 219,1 x 8,8</v>
      </c>
      <c r="BB140" s="145"/>
    </row>
    <row r="141" spans="1:54" s="146" customFormat="1" ht="13.5" customHeight="1">
      <c r="A141" s="147" t="s">
        <v>425</v>
      </c>
      <c r="B141" s="62">
        <f t="shared" si="12"/>
        <v>503.06752501712322</v>
      </c>
      <c r="C141" s="149">
        <v>219.1</v>
      </c>
      <c r="D141" s="149"/>
      <c r="E141" s="150" t="s">
        <v>827</v>
      </c>
      <c r="F141" s="149"/>
      <c r="G141" s="149"/>
      <c r="H141" s="151">
        <v>45.639562673249394</v>
      </c>
      <c r="I141" s="152">
        <v>46.511656227515303</v>
      </c>
      <c r="J141" s="152">
        <v>5813.9570284394131</v>
      </c>
      <c r="K141" s="152">
        <v>0.68832295040152358</v>
      </c>
      <c r="L141" s="153">
        <v>32197352.453522049</v>
      </c>
      <c r="M141" s="154">
        <v>293905.54498879093</v>
      </c>
      <c r="N141" s="154">
        <v>389416.74933333322</v>
      </c>
      <c r="O141" s="155">
        <v>74.41734508835961</v>
      </c>
      <c r="P141" s="154">
        <v>32197352.453522049</v>
      </c>
      <c r="Q141" s="154">
        <v>293905.54498879093</v>
      </c>
      <c r="R141" s="154">
        <v>389416.74933333322</v>
      </c>
      <c r="S141" s="152">
        <v>74.41734508835961</v>
      </c>
      <c r="T141" s="153">
        <v>64394704.907044098</v>
      </c>
      <c r="U141" s="156"/>
      <c r="V141" s="157">
        <v>1</v>
      </c>
      <c r="W141" s="158">
        <v>1</v>
      </c>
      <c r="X141" s="158">
        <v>1</v>
      </c>
      <c r="Y141" s="158">
        <v>1</v>
      </c>
      <c r="Z141" s="158">
        <v>1</v>
      </c>
      <c r="AA141" s="159">
        <v>1</v>
      </c>
      <c r="AB141" s="158">
        <v>1</v>
      </c>
      <c r="AC141" s="158">
        <v>2</v>
      </c>
      <c r="AD141" s="158">
        <v>2</v>
      </c>
      <c r="AE141" s="160">
        <v>2</v>
      </c>
      <c r="AF141" s="170">
        <v>1</v>
      </c>
      <c r="AG141" s="158">
        <v>1</v>
      </c>
      <c r="AH141" s="158">
        <v>2</v>
      </c>
      <c r="AI141" s="158">
        <v>2</v>
      </c>
      <c r="AJ141" s="158">
        <v>2</v>
      </c>
      <c r="AK141" s="73">
        <f t="shared" si="13"/>
        <v>118.39147538148967</v>
      </c>
      <c r="AL141" s="162"/>
      <c r="AM141" s="163"/>
      <c r="AN141" s="164"/>
      <c r="AO141" s="170" t="s">
        <v>49</v>
      </c>
      <c r="AP141" s="70">
        <f t="shared" si="14"/>
        <v>0.49</v>
      </c>
      <c r="AQ141" s="72">
        <f>IF(head!F$82="S235",235,IF(head!F$82="S275",275,IF(head!F$82="S355",355,IF(head!F$82="S420",420,460))))^0.5*head!$G$70*1000/(S141*3.1416*210000^0.5)</f>
        <v>1.7586502123410706</v>
      </c>
      <c r="AR141" s="72">
        <f t="shared" si="15"/>
        <v>2.4282945867072088</v>
      </c>
      <c r="AS141" s="72">
        <f t="shared" si="16"/>
        <v>0.24373961018884949</v>
      </c>
      <c r="AT141" s="52">
        <f>IF(head!F$82="S235",235,IF(head!F$82="S275",275,IF(head!F$82="S355",355,IF(head!F$82="S420",420,460))))*AS141*J141/1000</f>
        <v>503.06752501712322</v>
      </c>
      <c r="AU141" s="192" t="s">
        <v>47</v>
      </c>
      <c r="AV141" s="75" t="s">
        <v>47</v>
      </c>
      <c r="AW141" s="75" t="s">
        <v>47</v>
      </c>
      <c r="AX141" s="76" t="s">
        <v>47</v>
      </c>
      <c r="AY141" s="67" t="s">
        <v>47</v>
      </c>
      <c r="AZ141" s="193">
        <v>0</v>
      </c>
      <c r="BA141" s="169" t="str">
        <f t="shared" si="17"/>
        <v>CF CHS 219,1 x 10</v>
      </c>
      <c r="BB141" s="145"/>
    </row>
    <row r="142" spans="1:54" s="146" customFormat="1" ht="13.5" customHeight="1">
      <c r="A142" s="147" t="s">
        <v>426</v>
      </c>
      <c r="B142" s="62">
        <f t="shared" si="12"/>
        <v>563.29486539851371</v>
      </c>
      <c r="C142" s="149">
        <v>219.1</v>
      </c>
      <c r="D142" s="149"/>
      <c r="E142" s="150" t="s">
        <v>828</v>
      </c>
      <c r="F142" s="149"/>
      <c r="G142" s="149"/>
      <c r="H142" s="151">
        <v>51.567201373451617</v>
      </c>
      <c r="I142" s="152">
        <v>52.552561909250052</v>
      </c>
      <c r="J142" s="152">
        <v>6569.0702386562571</v>
      </c>
      <c r="K142" s="152">
        <v>0.68832295040152358</v>
      </c>
      <c r="L142" s="153">
        <v>35984389.618160978</v>
      </c>
      <c r="M142" s="154">
        <v>328474.57433282502</v>
      </c>
      <c r="N142" s="154">
        <v>437561.43333333329</v>
      </c>
      <c r="O142" s="155">
        <v>74.012507388954205</v>
      </c>
      <c r="P142" s="154">
        <v>35984389.618160978</v>
      </c>
      <c r="Q142" s="154">
        <v>328474.57433282502</v>
      </c>
      <c r="R142" s="154">
        <v>437561.43333333329</v>
      </c>
      <c r="S142" s="152">
        <v>74.012507388954205</v>
      </c>
      <c r="T142" s="153">
        <v>71968779.236321956</v>
      </c>
      <c r="U142" s="156"/>
      <c r="V142" s="157">
        <v>1</v>
      </c>
      <c r="W142" s="158">
        <v>1</v>
      </c>
      <c r="X142" s="158">
        <v>1</v>
      </c>
      <c r="Y142" s="158">
        <v>1</v>
      </c>
      <c r="Z142" s="158">
        <v>1</v>
      </c>
      <c r="AA142" s="159">
        <v>1</v>
      </c>
      <c r="AB142" s="158">
        <v>1</v>
      </c>
      <c r="AC142" s="158">
        <v>1</v>
      </c>
      <c r="AD142" s="158">
        <v>2</v>
      </c>
      <c r="AE142" s="160">
        <v>2</v>
      </c>
      <c r="AF142" s="170">
        <v>1</v>
      </c>
      <c r="AG142" s="158">
        <v>1</v>
      </c>
      <c r="AH142" s="158">
        <v>1</v>
      </c>
      <c r="AI142" s="158">
        <v>2</v>
      </c>
      <c r="AJ142" s="158">
        <v>2</v>
      </c>
      <c r="AK142" s="73">
        <f t="shared" si="13"/>
        <v>104.78240076518412</v>
      </c>
      <c r="AL142" s="162"/>
      <c r="AM142" s="163"/>
      <c r="AN142" s="164"/>
      <c r="AO142" s="170" t="s">
        <v>49</v>
      </c>
      <c r="AP142" s="70">
        <f t="shared" si="14"/>
        <v>0.49</v>
      </c>
      <c r="AQ142" s="72">
        <f>IF(head!F$82="S235",235,IF(head!F$82="S275",275,IF(head!F$82="S355",355,IF(head!F$82="S420",420,460))))^0.5*head!$G$70*1000/(S142*3.1416*210000^0.5)</f>
        <v>1.7682697743737608</v>
      </c>
      <c r="AR142" s="72">
        <f t="shared" si="15"/>
        <v>2.4476150922034865</v>
      </c>
      <c r="AS142" s="72">
        <f t="shared" si="16"/>
        <v>0.24154804897301593</v>
      </c>
      <c r="AT142" s="52">
        <f>IF(head!F$82="S235",235,IF(head!F$82="S275",275,IF(head!F$82="S355",355,IF(head!F$82="S420",420,460))))*AS142*J142/1000</f>
        <v>563.29486539851371</v>
      </c>
      <c r="AU142" s="192" t="s">
        <v>47</v>
      </c>
      <c r="AV142" s="75" t="s">
        <v>47</v>
      </c>
      <c r="AW142" s="75" t="s">
        <v>47</v>
      </c>
      <c r="AX142" s="76" t="s">
        <v>47</v>
      </c>
      <c r="AY142" s="67" t="s">
        <v>47</v>
      </c>
      <c r="AZ142" s="193">
        <v>0</v>
      </c>
      <c r="BA142" s="169" t="str">
        <f t="shared" si="17"/>
        <v>CF CHS 219,1 x 12,5</v>
      </c>
      <c r="BB142" s="145"/>
    </row>
    <row r="143" spans="1:54" s="146" customFormat="1" ht="13.5" customHeight="1">
      <c r="A143" s="147" t="s">
        <v>427</v>
      </c>
      <c r="B143" s="62">
        <f t="shared" si="12"/>
        <v>682.71896681429553</v>
      </c>
      <c r="C143" s="149">
        <v>219.1</v>
      </c>
      <c r="D143" s="149"/>
      <c r="E143" s="150" t="s">
        <v>829</v>
      </c>
      <c r="F143" s="149"/>
      <c r="G143" s="149"/>
      <c r="H143" s="151">
        <v>63.688329768980779</v>
      </c>
      <c r="I143" s="152">
        <v>64.905304223165132</v>
      </c>
      <c r="J143" s="152">
        <v>8113.1630278956409</v>
      </c>
      <c r="K143" s="152">
        <v>0.68832295040152358</v>
      </c>
      <c r="L143" s="153">
        <v>43445795.326759242</v>
      </c>
      <c r="M143" s="154">
        <v>396584.16546562524</v>
      </c>
      <c r="N143" s="154">
        <v>534195.54166666674</v>
      </c>
      <c r="O143" s="155">
        <v>73.177703229877338</v>
      </c>
      <c r="P143" s="154">
        <v>43445795.326759242</v>
      </c>
      <c r="Q143" s="154">
        <v>396584.16546562524</v>
      </c>
      <c r="R143" s="154">
        <v>534195.54166666674</v>
      </c>
      <c r="S143" s="152">
        <v>73.177703229877338</v>
      </c>
      <c r="T143" s="153">
        <v>86891590.653518483</v>
      </c>
      <c r="U143" s="156"/>
      <c r="V143" s="157">
        <v>1</v>
      </c>
      <c r="W143" s="158">
        <v>1</v>
      </c>
      <c r="X143" s="158">
        <v>1</v>
      </c>
      <c r="Y143" s="158">
        <v>1</v>
      </c>
      <c r="Z143" s="158">
        <v>1</v>
      </c>
      <c r="AA143" s="159">
        <v>1</v>
      </c>
      <c r="AB143" s="158">
        <v>1</v>
      </c>
      <c r="AC143" s="158">
        <v>1</v>
      </c>
      <c r="AD143" s="158">
        <v>1</v>
      </c>
      <c r="AE143" s="160">
        <v>1</v>
      </c>
      <c r="AF143" s="170">
        <v>1</v>
      </c>
      <c r="AG143" s="158">
        <v>1</v>
      </c>
      <c r="AH143" s="158">
        <v>1</v>
      </c>
      <c r="AI143" s="158">
        <v>1</v>
      </c>
      <c r="AJ143" s="158">
        <v>1</v>
      </c>
      <c r="AK143" s="73">
        <f t="shared" si="13"/>
        <v>84.840271055179088</v>
      </c>
      <c r="AL143" s="162"/>
      <c r="AM143" s="163"/>
      <c r="AN143" s="164"/>
      <c r="AO143" s="170" t="s">
        <v>49</v>
      </c>
      <c r="AP143" s="70">
        <f t="shared" si="14"/>
        <v>0.49</v>
      </c>
      <c r="AQ143" s="72">
        <f>IF(head!F$82="S235",235,IF(head!F$82="S275",275,IF(head!F$82="S355",355,IF(head!F$82="S420",420,460))))^0.5*head!$G$70*1000/(S143*3.1416*210000^0.5)</f>
        <v>1.7884420248935671</v>
      </c>
      <c r="AR143" s="72">
        <f t="shared" si="15"/>
        <v>2.488430734301625</v>
      </c>
      <c r="AS143" s="72">
        <f t="shared" si="16"/>
        <v>0.23704096818747372</v>
      </c>
      <c r="AT143" s="52">
        <f>IF(head!F$82="S235",235,IF(head!F$82="S275",275,IF(head!F$82="S355",355,IF(head!F$82="S420",420,460))))*AS143*J143/1000</f>
        <v>682.71896681429553</v>
      </c>
      <c r="AU143" s="192" t="s">
        <v>47</v>
      </c>
      <c r="AV143" s="75" t="s">
        <v>47</v>
      </c>
      <c r="AW143" s="75" t="s">
        <v>47</v>
      </c>
      <c r="AX143" s="76" t="s">
        <v>47</v>
      </c>
      <c r="AY143" s="67" t="s">
        <v>47</v>
      </c>
      <c r="AZ143" s="193">
        <v>0</v>
      </c>
      <c r="BA143" s="169" t="str">
        <f t="shared" si="17"/>
        <v>CF CHS 219,1 x 14,2</v>
      </c>
      <c r="BB143" s="145"/>
    </row>
    <row r="144" spans="1:54" s="146" customFormat="1" ht="13.5" customHeight="1">
      <c r="A144" s="147" t="s">
        <v>428</v>
      </c>
      <c r="B144" s="62">
        <f t="shared" si="12"/>
        <v>759.39199045049634</v>
      </c>
      <c r="C144" s="149">
        <v>219.1</v>
      </c>
      <c r="D144" s="149"/>
      <c r="E144" s="150" t="s">
        <v>830</v>
      </c>
      <c r="F144" s="149"/>
      <c r="G144" s="149"/>
      <c r="H144" s="151">
        <v>71.754613951299547</v>
      </c>
      <c r="I144" s="152">
        <v>73.12572122425432</v>
      </c>
      <c r="J144" s="152">
        <v>9140.7151530317897</v>
      </c>
      <c r="K144" s="152">
        <v>0.68832295040152358</v>
      </c>
      <c r="L144" s="153">
        <v>48200876.274436943</v>
      </c>
      <c r="M144" s="154">
        <v>439989.74234994926</v>
      </c>
      <c r="N144" s="154">
        <v>597127.37133333331</v>
      </c>
      <c r="O144" s="155">
        <v>72.616845497446391</v>
      </c>
      <c r="P144" s="154">
        <v>48200876.274436943</v>
      </c>
      <c r="Q144" s="154">
        <v>439989.74234994926</v>
      </c>
      <c r="R144" s="154">
        <v>597127.37133333331</v>
      </c>
      <c r="S144" s="152">
        <v>72.616845497446391</v>
      </c>
      <c r="T144" s="153">
        <v>96401752.548873886</v>
      </c>
      <c r="U144" s="156"/>
      <c r="V144" s="157">
        <v>1</v>
      </c>
      <c r="W144" s="158">
        <v>1</v>
      </c>
      <c r="X144" s="158">
        <v>1</v>
      </c>
      <c r="Y144" s="158">
        <v>1</v>
      </c>
      <c r="Z144" s="158">
        <v>1</v>
      </c>
      <c r="AA144" s="159">
        <v>1</v>
      </c>
      <c r="AB144" s="158">
        <v>1</v>
      </c>
      <c r="AC144" s="158">
        <v>1</v>
      </c>
      <c r="AD144" s="158">
        <v>1</v>
      </c>
      <c r="AE144" s="160">
        <v>1</v>
      </c>
      <c r="AF144" s="170">
        <v>1</v>
      </c>
      <c r="AG144" s="158">
        <v>1</v>
      </c>
      <c r="AH144" s="158">
        <v>1</v>
      </c>
      <c r="AI144" s="158">
        <v>1</v>
      </c>
      <c r="AJ144" s="158">
        <v>1</v>
      </c>
      <c r="AK144" s="73">
        <f t="shared" si="13"/>
        <v>75.302964689061639</v>
      </c>
      <c r="AL144" s="162"/>
      <c r="AM144" s="163"/>
      <c r="AN144" s="164"/>
      <c r="AO144" s="170" t="s">
        <v>49</v>
      </c>
      <c r="AP144" s="70">
        <f t="shared" si="14"/>
        <v>0.49</v>
      </c>
      <c r="AQ144" s="72">
        <f>IF(head!F$82="S235",235,IF(head!F$82="S275",275,IF(head!F$82="S355",355,IF(head!F$82="S420",420,460))))^0.5*head!$G$70*1000/(S144*3.1416*210000^0.5)</f>
        <v>1.8022550944615823</v>
      </c>
      <c r="AR144" s="72">
        <f t="shared" si="15"/>
        <v>2.5166142108994514</v>
      </c>
      <c r="AS144" s="72">
        <f t="shared" si="16"/>
        <v>0.23402242949849278</v>
      </c>
      <c r="AT144" s="52">
        <f>IF(head!F$82="S235",235,IF(head!F$82="S275",275,IF(head!F$82="S355",355,IF(head!F$82="S420",420,460))))*AS144*J144/1000</f>
        <v>759.39199045049634</v>
      </c>
      <c r="AU144" s="192" t="s">
        <v>47</v>
      </c>
      <c r="AV144" s="75" t="s">
        <v>47</v>
      </c>
      <c r="AW144" s="75" t="s">
        <v>47</v>
      </c>
      <c r="AX144" s="76" t="s">
        <v>47</v>
      </c>
      <c r="AY144" s="67" t="s">
        <v>47</v>
      </c>
      <c r="AZ144" s="193">
        <v>0</v>
      </c>
      <c r="BA144" s="169" t="str">
        <f t="shared" si="17"/>
        <v>CF CHS 219,1 x 16</v>
      </c>
      <c r="BB144" s="145"/>
    </row>
    <row r="145" spans="1:54" s="146" customFormat="1" ht="13.5" customHeight="1">
      <c r="A145" s="147" t="s">
        <v>429</v>
      </c>
      <c r="B145" s="62">
        <f t="shared" si="12"/>
        <v>836.70448503810701</v>
      </c>
      <c r="C145" s="149">
        <v>219.1</v>
      </c>
      <c r="D145" s="149"/>
      <c r="E145" s="150" t="s">
        <v>831</v>
      </c>
      <c r="F145" s="149"/>
      <c r="G145" s="149"/>
      <c r="H145" s="151">
        <v>80.140017973777333</v>
      </c>
      <c r="I145" s="152">
        <v>81.671355896843139</v>
      </c>
      <c r="J145" s="152">
        <v>10208.919487105393</v>
      </c>
      <c r="K145" s="152">
        <v>0.68832295040152358</v>
      </c>
      <c r="L145" s="153">
        <v>52965928.84414956</v>
      </c>
      <c r="M145" s="154">
        <v>483486.34271245601</v>
      </c>
      <c r="N145" s="154">
        <v>661359.0933333335</v>
      </c>
      <c r="O145" s="155">
        <v>72.029169438499011</v>
      </c>
      <c r="P145" s="154">
        <v>52965928.84414956</v>
      </c>
      <c r="Q145" s="154">
        <v>483486.34271245601</v>
      </c>
      <c r="R145" s="154">
        <v>661359.0933333335</v>
      </c>
      <c r="S145" s="152">
        <v>72.029169438499011</v>
      </c>
      <c r="T145" s="153">
        <v>105931857.68829912</v>
      </c>
      <c r="U145" s="156"/>
      <c r="V145" s="157">
        <v>1</v>
      </c>
      <c r="W145" s="158">
        <v>1</v>
      </c>
      <c r="X145" s="158">
        <v>1</v>
      </c>
      <c r="Y145" s="158">
        <v>1</v>
      </c>
      <c r="Z145" s="158">
        <v>1</v>
      </c>
      <c r="AA145" s="159">
        <v>1</v>
      </c>
      <c r="AB145" s="158">
        <v>1</v>
      </c>
      <c r="AC145" s="158">
        <v>1</v>
      </c>
      <c r="AD145" s="158">
        <v>1</v>
      </c>
      <c r="AE145" s="160">
        <v>1</v>
      </c>
      <c r="AF145" s="170">
        <v>1</v>
      </c>
      <c r="AG145" s="158">
        <v>1</v>
      </c>
      <c r="AH145" s="158">
        <v>1</v>
      </c>
      <c r="AI145" s="158">
        <v>1</v>
      </c>
      <c r="AJ145" s="158">
        <v>1</v>
      </c>
      <c r="AK145" s="73">
        <f t="shared" si="13"/>
        <v>67.423682914820276</v>
      </c>
      <c r="AL145" s="162"/>
      <c r="AM145" s="163"/>
      <c r="AN145" s="164"/>
      <c r="AO145" s="170" t="s">
        <v>49</v>
      </c>
      <c r="AP145" s="70">
        <f t="shared" si="14"/>
        <v>0.49</v>
      </c>
      <c r="AQ145" s="72">
        <f>IF(head!F$82="S235",235,IF(head!F$82="S275",275,IF(head!F$82="S355",355,IF(head!F$82="S420",420,460))))^0.5*head!$G$70*1000/(S145*3.1416*210000^0.5)</f>
        <v>1.8169594452043094</v>
      </c>
      <c r="AR145" s="72">
        <f t="shared" si="15"/>
        <v>2.5468258768336316</v>
      </c>
      <c r="AS145" s="72">
        <f t="shared" si="16"/>
        <v>0.23086811932818341</v>
      </c>
      <c r="AT145" s="52">
        <f>IF(head!F$82="S235",235,IF(head!F$82="S275",275,IF(head!F$82="S355",355,IF(head!F$82="S420",420,460))))*AS145*J145/1000</f>
        <v>836.70448503810701</v>
      </c>
      <c r="AU145" s="192" t="s">
        <v>47</v>
      </c>
      <c r="AV145" s="75" t="s">
        <v>47</v>
      </c>
      <c r="AW145" s="75" t="s">
        <v>47</v>
      </c>
      <c r="AX145" s="76" t="s">
        <v>47</v>
      </c>
      <c r="AY145" s="67" t="s">
        <v>47</v>
      </c>
      <c r="AZ145" s="193">
        <v>0</v>
      </c>
      <c r="BA145" s="169" t="str">
        <f t="shared" si="17"/>
        <v>CF CHS 219,1 x 20</v>
      </c>
      <c r="BB145" s="145"/>
    </row>
    <row r="146" spans="1:54" s="146" customFormat="1" ht="13.5" customHeight="1">
      <c r="A146" s="147" t="s">
        <v>430</v>
      </c>
      <c r="B146" s="62">
        <f t="shared" si="12"/>
        <v>994.8555112689653</v>
      </c>
      <c r="C146" s="149">
        <v>219.1</v>
      </c>
      <c r="D146" s="149"/>
      <c r="E146" s="150" t="s">
        <v>833</v>
      </c>
      <c r="F146" s="149"/>
      <c r="G146" s="149"/>
      <c r="H146" s="151">
        <v>98.202102280767278</v>
      </c>
      <c r="I146" s="152">
        <v>100.07857557275646</v>
      </c>
      <c r="J146" s="152">
        <v>12509.821946594557</v>
      </c>
      <c r="K146" s="152">
        <v>0.68832295040152358</v>
      </c>
      <c r="L146" s="153">
        <v>62612925.462177858</v>
      </c>
      <c r="M146" s="154">
        <v>571546.55830376875</v>
      </c>
      <c r="N146" s="154">
        <v>795482.8666666667</v>
      </c>
      <c r="O146" s="155">
        <v>70.746740207588374</v>
      </c>
      <c r="P146" s="154">
        <v>62612925.462177858</v>
      </c>
      <c r="Q146" s="154">
        <v>571546.55830376875</v>
      </c>
      <c r="R146" s="154">
        <v>795482.8666666667</v>
      </c>
      <c r="S146" s="152">
        <v>70.746740207588374</v>
      </c>
      <c r="T146" s="153">
        <v>125225850.92435572</v>
      </c>
      <c r="U146" s="156"/>
      <c r="V146" s="157">
        <v>1</v>
      </c>
      <c r="W146" s="158">
        <v>1</v>
      </c>
      <c r="X146" s="158">
        <v>1</v>
      </c>
      <c r="Y146" s="158">
        <v>1</v>
      </c>
      <c r="Z146" s="158">
        <v>1</v>
      </c>
      <c r="AA146" s="159">
        <v>1</v>
      </c>
      <c r="AB146" s="158">
        <v>1</v>
      </c>
      <c r="AC146" s="158">
        <v>1</v>
      </c>
      <c r="AD146" s="158">
        <v>1</v>
      </c>
      <c r="AE146" s="160">
        <v>1</v>
      </c>
      <c r="AF146" s="170">
        <v>1</v>
      </c>
      <c r="AG146" s="158">
        <v>1</v>
      </c>
      <c r="AH146" s="158">
        <v>1</v>
      </c>
      <c r="AI146" s="158">
        <v>1</v>
      </c>
      <c r="AJ146" s="158">
        <v>1</v>
      </c>
      <c r="AK146" s="73">
        <f t="shared" si="13"/>
        <v>55.022601707684572</v>
      </c>
      <c r="AL146" s="162"/>
      <c r="AM146" s="163"/>
      <c r="AN146" s="164"/>
      <c r="AO146" s="170" t="s">
        <v>49</v>
      </c>
      <c r="AP146" s="70">
        <f t="shared" si="14"/>
        <v>0.49</v>
      </c>
      <c r="AQ146" s="72">
        <f>IF(head!F$82="S235",235,IF(head!F$82="S275",275,IF(head!F$82="S355",355,IF(head!F$82="S420",420,460))))^0.5*head!$G$70*1000/(S146*3.1416*210000^0.5)</f>
        <v>1.8498955479430648</v>
      </c>
      <c r="AR146" s="72">
        <f t="shared" si="15"/>
        <v>2.6152811783958367</v>
      </c>
      <c r="AS146" s="72">
        <f t="shared" si="16"/>
        <v>0.22401676881271443</v>
      </c>
      <c r="AT146" s="52">
        <f>IF(head!F$82="S235",235,IF(head!F$82="S275",275,IF(head!F$82="S355",355,IF(head!F$82="S420",420,460))))*AS146*J146/1000</f>
        <v>994.8555112689653</v>
      </c>
      <c r="AU146" s="192" t="s">
        <v>47</v>
      </c>
      <c r="AV146" s="75" t="s">
        <v>47</v>
      </c>
      <c r="AW146" s="75" t="s">
        <v>47</v>
      </c>
      <c r="AX146" s="76" t="s">
        <v>47</v>
      </c>
      <c r="AY146" s="67" t="s">
        <v>47</v>
      </c>
      <c r="AZ146" s="193">
        <v>0</v>
      </c>
      <c r="BA146" s="169" t="str">
        <f t="shared" si="17"/>
        <v>CF CHS 244,5 x 6,3</v>
      </c>
      <c r="BB146" s="145"/>
    </row>
    <row r="147" spans="1:54" s="146" customFormat="1" ht="13.5" customHeight="1">
      <c r="A147" s="147" t="s">
        <v>431</v>
      </c>
      <c r="B147" s="62">
        <f t="shared" si="12"/>
        <v>498.43467135280207</v>
      </c>
      <c r="C147" s="149">
        <v>244.5</v>
      </c>
      <c r="D147" s="149"/>
      <c r="E147" s="150">
        <v>6.3</v>
      </c>
      <c r="F147" s="149"/>
      <c r="G147" s="149"/>
      <c r="H147" s="151">
        <v>37.008530087558057</v>
      </c>
      <c r="I147" s="152">
        <v>37.715699452288469</v>
      </c>
      <c r="J147" s="152">
        <v>4714.4624315360588</v>
      </c>
      <c r="K147" s="152">
        <v>0.76811940380270438</v>
      </c>
      <c r="L147" s="153">
        <v>33460266.548476964</v>
      </c>
      <c r="M147" s="154">
        <v>273703.61184848234</v>
      </c>
      <c r="N147" s="154">
        <v>357540.5610000001</v>
      </c>
      <c r="O147" s="155">
        <v>84.245867851189004</v>
      </c>
      <c r="P147" s="154">
        <v>33460266.548476964</v>
      </c>
      <c r="Q147" s="154">
        <v>273703.61184848234</v>
      </c>
      <c r="R147" s="154">
        <v>357540.5610000001</v>
      </c>
      <c r="S147" s="152">
        <v>84.245867851189004</v>
      </c>
      <c r="T147" s="153">
        <v>66920533.096953928</v>
      </c>
      <c r="U147" s="156"/>
      <c r="V147" s="157">
        <v>1</v>
      </c>
      <c r="W147" s="158">
        <v>1</v>
      </c>
      <c r="X147" s="158">
        <v>2</v>
      </c>
      <c r="Y147" s="158">
        <v>2</v>
      </c>
      <c r="Z147" s="158">
        <v>3</v>
      </c>
      <c r="AA147" s="159">
        <v>2</v>
      </c>
      <c r="AB147" s="158">
        <v>2</v>
      </c>
      <c r="AC147" s="158">
        <v>3</v>
      </c>
      <c r="AD147" s="158">
        <v>4</v>
      </c>
      <c r="AE147" s="160">
        <v>4</v>
      </c>
      <c r="AF147" s="170">
        <v>2</v>
      </c>
      <c r="AG147" s="158">
        <v>2</v>
      </c>
      <c r="AH147" s="158">
        <v>3</v>
      </c>
      <c r="AI147" s="158">
        <v>4</v>
      </c>
      <c r="AJ147" s="158">
        <v>4</v>
      </c>
      <c r="AK147" s="73">
        <f t="shared" si="13"/>
        <v>162.92831154292111</v>
      </c>
      <c r="AL147" s="162"/>
      <c r="AM147" s="163"/>
      <c r="AN147" s="164"/>
      <c r="AO147" s="170" t="s">
        <v>49</v>
      </c>
      <c r="AP147" s="70">
        <f t="shared" si="14"/>
        <v>0.49</v>
      </c>
      <c r="AQ147" s="72">
        <f>IF(head!F$82="S235",235,IF(head!F$82="S275",275,IF(head!F$82="S355",355,IF(head!F$82="S420",420,460))))^0.5*head!$G$70*1000/(S147*3.1416*210000^0.5)</f>
        <v>1.5534777322571705</v>
      </c>
      <c r="AR147" s="72">
        <f t="shared" si="15"/>
        <v>2.038248576712447</v>
      </c>
      <c r="AS147" s="72">
        <f t="shared" si="16"/>
        <v>0.29781578454468871</v>
      </c>
      <c r="AT147" s="52">
        <f>IF(head!F$82="S235",235,IF(head!F$82="S275",275,IF(head!F$82="S355",355,IF(head!F$82="S420",420,460))))*AS147*J147/1000</f>
        <v>498.43467135280207</v>
      </c>
      <c r="AU147" s="192" t="s">
        <v>47</v>
      </c>
      <c r="AV147" s="75" t="s">
        <v>47</v>
      </c>
      <c r="AW147" s="75" t="s">
        <v>47</v>
      </c>
      <c r="AX147" s="76" t="s">
        <v>47</v>
      </c>
      <c r="AY147" s="67" t="s">
        <v>47</v>
      </c>
      <c r="AZ147" s="193">
        <v>0</v>
      </c>
      <c r="BA147" s="169" t="str">
        <f t="shared" si="17"/>
        <v>CF CHS 244,5 x 8</v>
      </c>
      <c r="BB147" s="145"/>
    </row>
    <row r="148" spans="1:54" s="146" customFormat="1" ht="13.5" customHeight="1">
      <c r="A148" s="147" t="s">
        <v>432</v>
      </c>
      <c r="B148" s="62">
        <f t="shared" si="12"/>
        <v>621.58289913315593</v>
      </c>
      <c r="C148" s="149">
        <v>244.5</v>
      </c>
      <c r="D148" s="149"/>
      <c r="E148" s="150">
        <v>8</v>
      </c>
      <c r="F148" s="149"/>
      <c r="G148" s="149"/>
      <c r="H148" s="151">
        <v>46.65956240964632</v>
      </c>
      <c r="I148" s="152">
        <v>47.5511464047351</v>
      </c>
      <c r="J148" s="152">
        <v>5943.8933005918889</v>
      </c>
      <c r="K148" s="152">
        <v>0.76811940380270438</v>
      </c>
      <c r="L148" s="153">
        <v>41604466.90415857</v>
      </c>
      <c r="M148" s="154">
        <v>340322.83766182879</v>
      </c>
      <c r="N148" s="154">
        <v>447628.66666666669</v>
      </c>
      <c r="O148" s="155">
        <v>83.663201289455813</v>
      </c>
      <c r="P148" s="154">
        <v>41604466.90415857</v>
      </c>
      <c r="Q148" s="154">
        <v>340322.83766182879</v>
      </c>
      <c r="R148" s="154">
        <v>447628.66666666669</v>
      </c>
      <c r="S148" s="152">
        <v>83.663201289455813</v>
      </c>
      <c r="T148" s="153">
        <v>83208933.80831714</v>
      </c>
      <c r="U148" s="156"/>
      <c r="V148" s="157">
        <v>1</v>
      </c>
      <c r="W148" s="158">
        <v>1</v>
      </c>
      <c r="X148" s="158">
        <v>1</v>
      </c>
      <c r="Y148" s="158">
        <v>2</v>
      </c>
      <c r="Z148" s="158">
        <v>2</v>
      </c>
      <c r="AA148" s="159">
        <v>1</v>
      </c>
      <c r="AB148" s="158">
        <v>1</v>
      </c>
      <c r="AC148" s="158">
        <v>2</v>
      </c>
      <c r="AD148" s="158">
        <v>3</v>
      </c>
      <c r="AE148" s="160">
        <v>3</v>
      </c>
      <c r="AF148" s="170">
        <v>1</v>
      </c>
      <c r="AG148" s="158">
        <v>1</v>
      </c>
      <c r="AH148" s="158">
        <v>2</v>
      </c>
      <c r="AI148" s="158">
        <v>3</v>
      </c>
      <c r="AJ148" s="158">
        <v>3</v>
      </c>
      <c r="AK148" s="73">
        <f t="shared" si="13"/>
        <v>129.22832980972512</v>
      </c>
      <c r="AL148" s="162"/>
      <c r="AM148" s="163"/>
      <c r="AN148" s="164"/>
      <c r="AO148" s="170" t="s">
        <v>49</v>
      </c>
      <c r="AP148" s="70">
        <f t="shared" si="14"/>
        <v>0.49</v>
      </c>
      <c r="AQ148" s="72">
        <f>IF(head!F$82="S235",235,IF(head!F$82="S275",275,IF(head!F$82="S355",355,IF(head!F$82="S420",420,460))))^0.5*head!$G$70*1000/(S148*3.1416*210000^0.5)</f>
        <v>1.5642968201600074</v>
      </c>
      <c r="AR148" s="72">
        <f t="shared" si="15"/>
        <v>2.0577649917205569</v>
      </c>
      <c r="AS148" s="72">
        <f t="shared" si="16"/>
        <v>0.29457758669098277</v>
      </c>
      <c r="AT148" s="52">
        <f>IF(head!F$82="S235",235,IF(head!F$82="S275",275,IF(head!F$82="S355",355,IF(head!F$82="S420",420,460))))*AS148*J148/1000</f>
        <v>621.58289913315593</v>
      </c>
      <c r="AU148" s="192" t="s">
        <v>47</v>
      </c>
      <c r="AV148" s="75" t="s">
        <v>47</v>
      </c>
      <c r="AW148" s="75" t="s">
        <v>47</v>
      </c>
      <c r="AX148" s="76" t="s">
        <v>47</v>
      </c>
      <c r="AY148" s="67" t="s">
        <v>47</v>
      </c>
      <c r="AZ148" s="193">
        <v>0</v>
      </c>
      <c r="BA148" s="169" t="str">
        <f t="shared" si="17"/>
        <v>CF CHS 244,5 x 10</v>
      </c>
      <c r="BB148" s="145"/>
    </row>
    <row r="149" spans="1:54" s="146" customFormat="1" ht="13.5" customHeight="1">
      <c r="A149" s="147" t="s">
        <v>433</v>
      </c>
      <c r="B149" s="62">
        <f t="shared" si="12"/>
        <v>760.53874578490786</v>
      </c>
      <c r="C149" s="149">
        <v>244.5</v>
      </c>
      <c r="D149" s="149"/>
      <c r="E149" s="150" t="s">
        <v>828</v>
      </c>
      <c r="F149" s="149"/>
      <c r="G149" s="149"/>
      <c r="H149" s="151">
        <v>57.831222965444312</v>
      </c>
      <c r="I149" s="152">
        <v>58.93627818134452</v>
      </c>
      <c r="J149" s="152">
        <v>7367.0347726680648</v>
      </c>
      <c r="K149" s="152">
        <v>0.76811940380270438</v>
      </c>
      <c r="L149" s="153">
        <v>50731473.423122108</v>
      </c>
      <c r="M149" s="154">
        <v>414981.37769425032</v>
      </c>
      <c r="N149" s="154">
        <v>550235.83333333326</v>
      </c>
      <c r="O149" s="155">
        <v>82.983620371733608</v>
      </c>
      <c r="P149" s="154">
        <v>50731473.423122108</v>
      </c>
      <c r="Q149" s="154">
        <v>414981.37769425032</v>
      </c>
      <c r="R149" s="154">
        <v>550235.83333333326</v>
      </c>
      <c r="S149" s="152">
        <v>82.983620371733608</v>
      </c>
      <c r="T149" s="153">
        <v>101462946.84624422</v>
      </c>
      <c r="U149" s="156"/>
      <c r="V149" s="157">
        <v>1</v>
      </c>
      <c r="W149" s="158">
        <v>1</v>
      </c>
      <c r="X149" s="158">
        <v>1</v>
      </c>
      <c r="Y149" s="158">
        <v>1</v>
      </c>
      <c r="Z149" s="158">
        <v>1</v>
      </c>
      <c r="AA149" s="159">
        <v>1</v>
      </c>
      <c r="AB149" s="158">
        <v>1</v>
      </c>
      <c r="AC149" s="158">
        <v>2</v>
      </c>
      <c r="AD149" s="158">
        <v>2</v>
      </c>
      <c r="AE149" s="160">
        <v>2</v>
      </c>
      <c r="AF149" s="170">
        <v>1</v>
      </c>
      <c r="AG149" s="158">
        <v>1</v>
      </c>
      <c r="AH149" s="158">
        <v>2</v>
      </c>
      <c r="AI149" s="158">
        <v>2</v>
      </c>
      <c r="AJ149" s="158">
        <v>2</v>
      </c>
      <c r="AK149" s="73">
        <f t="shared" si="13"/>
        <v>104.26439232409382</v>
      </c>
      <c r="AL149" s="162"/>
      <c r="AM149" s="163"/>
      <c r="AN149" s="164"/>
      <c r="AO149" s="170" t="s">
        <v>49</v>
      </c>
      <c r="AP149" s="70">
        <f t="shared" si="14"/>
        <v>0.49</v>
      </c>
      <c r="AQ149" s="72">
        <f>IF(head!F$82="S235",235,IF(head!F$82="S275",275,IF(head!F$82="S355",355,IF(head!F$82="S420",420,460))))^0.5*head!$G$70*1000/(S149*3.1416*210000^0.5)</f>
        <v>1.5771073755909728</v>
      </c>
      <c r="AR149" s="72">
        <f t="shared" si="15"/>
        <v>2.0810251440915111</v>
      </c>
      <c r="AS149" s="72">
        <f t="shared" si="16"/>
        <v>0.29080392997886656</v>
      </c>
      <c r="AT149" s="52">
        <f>IF(head!F$82="S235",235,IF(head!F$82="S275",275,IF(head!F$82="S355",355,IF(head!F$82="S420",420,460))))*AS149*J149/1000</f>
        <v>760.53874578490786</v>
      </c>
      <c r="AU149" s="192" t="s">
        <v>47</v>
      </c>
      <c r="AV149" s="75" t="s">
        <v>47</v>
      </c>
      <c r="AW149" s="75" t="s">
        <v>47</v>
      </c>
      <c r="AX149" s="76" t="s">
        <v>47</v>
      </c>
      <c r="AY149" s="67" t="s">
        <v>47</v>
      </c>
      <c r="AZ149" s="193">
        <v>0</v>
      </c>
      <c r="BA149" s="169" t="str">
        <f t="shared" si="17"/>
        <v>CF CHS 244,5 x 12,5</v>
      </c>
      <c r="BB149" s="145"/>
    </row>
    <row r="150" spans="1:54" s="146" customFormat="1" ht="13.5" customHeight="1">
      <c r="A150" s="147" t="s">
        <v>434</v>
      </c>
      <c r="B150" s="62">
        <f t="shared" si="12"/>
        <v>925.46504091241536</v>
      </c>
      <c r="C150" s="149">
        <v>244.5</v>
      </c>
      <c r="D150" s="149"/>
      <c r="E150" s="150" t="s">
        <v>829</v>
      </c>
      <c r="F150" s="149"/>
      <c r="G150" s="149"/>
      <c r="H150" s="151">
        <v>71.518356758971635</v>
      </c>
      <c r="I150" s="152">
        <v>72.8849495632832</v>
      </c>
      <c r="J150" s="152">
        <v>9110.6186954103996</v>
      </c>
      <c r="K150" s="152">
        <v>0.76811940380270438</v>
      </c>
      <c r="L150" s="153">
        <v>61474184.354115903</v>
      </c>
      <c r="M150" s="154">
        <v>502856.31373509945</v>
      </c>
      <c r="N150" s="154">
        <v>673451.04166666674</v>
      </c>
      <c r="O150" s="155">
        <v>82.143357917728196</v>
      </c>
      <c r="P150" s="154">
        <v>61474184.354115903</v>
      </c>
      <c r="Q150" s="154">
        <v>502856.31373509945</v>
      </c>
      <c r="R150" s="154">
        <v>673451.04166666674</v>
      </c>
      <c r="S150" s="152">
        <v>82.143357917728196</v>
      </c>
      <c r="T150" s="153">
        <v>122948368.70823181</v>
      </c>
      <c r="U150" s="156"/>
      <c r="V150" s="157">
        <v>1</v>
      </c>
      <c r="W150" s="158">
        <v>1</v>
      </c>
      <c r="X150" s="158">
        <v>1</v>
      </c>
      <c r="Y150" s="158">
        <v>1</v>
      </c>
      <c r="Z150" s="158">
        <v>1</v>
      </c>
      <c r="AA150" s="159">
        <v>1</v>
      </c>
      <c r="AB150" s="158">
        <v>1</v>
      </c>
      <c r="AC150" s="158">
        <v>1</v>
      </c>
      <c r="AD150" s="158">
        <v>1</v>
      </c>
      <c r="AE150" s="160">
        <v>2</v>
      </c>
      <c r="AF150" s="170">
        <v>1</v>
      </c>
      <c r="AG150" s="158">
        <v>1</v>
      </c>
      <c r="AH150" s="158">
        <v>1</v>
      </c>
      <c r="AI150" s="158">
        <v>1</v>
      </c>
      <c r="AJ150" s="158">
        <v>2</v>
      </c>
      <c r="AK150" s="73">
        <f t="shared" si="13"/>
        <v>84.310344827586206</v>
      </c>
      <c r="AL150" s="162"/>
      <c r="AM150" s="163"/>
      <c r="AN150" s="164"/>
      <c r="AO150" s="170" t="s">
        <v>49</v>
      </c>
      <c r="AP150" s="70">
        <f t="shared" si="14"/>
        <v>0.49</v>
      </c>
      <c r="AQ150" s="72">
        <f>IF(head!F$82="S235",235,IF(head!F$82="S275",275,IF(head!F$82="S355",355,IF(head!F$82="S420",420,460))))^0.5*head!$G$70*1000/(S150*3.1416*210000^0.5)</f>
        <v>1.5932399534065929</v>
      </c>
      <c r="AR150" s="72">
        <f t="shared" si="15"/>
        <v>2.1105505631501362</v>
      </c>
      <c r="AS150" s="72">
        <f t="shared" si="16"/>
        <v>0.2861434403495951</v>
      </c>
      <c r="AT150" s="52">
        <f>IF(head!F$82="S235",235,IF(head!F$82="S275",275,IF(head!F$82="S355",355,IF(head!F$82="S420",420,460))))*AS150*J150/1000</f>
        <v>925.46504091241536</v>
      </c>
      <c r="AU150" s="192" t="s">
        <v>47</v>
      </c>
      <c r="AV150" s="75" t="s">
        <v>47</v>
      </c>
      <c r="AW150" s="75" t="s">
        <v>47</v>
      </c>
      <c r="AX150" s="76" t="s">
        <v>47</v>
      </c>
      <c r="AY150" s="67" t="s">
        <v>47</v>
      </c>
      <c r="AZ150" s="193">
        <v>0</v>
      </c>
      <c r="BA150" s="169" t="str">
        <f t="shared" si="17"/>
        <v>CF CHS 244,5 x 14,2</v>
      </c>
      <c r="BB150" s="145"/>
    </row>
    <row r="151" spans="1:54" s="146" customFormat="1" ht="13.5" customHeight="1">
      <c r="A151" s="147" t="s">
        <v>435</v>
      </c>
      <c r="B151" s="62">
        <f t="shared" si="12"/>
        <v>1032.2013661512526</v>
      </c>
      <c r="C151" s="149">
        <v>244.5</v>
      </c>
      <c r="D151" s="149"/>
      <c r="E151" s="150" t="s">
        <v>830</v>
      </c>
      <c r="F151" s="149"/>
      <c r="G151" s="149"/>
      <c r="H151" s="151">
        <v>80.649524611929181</v>
      </c>
      <c r="I151" s="152">
        <v>82.190598330628461</v>
      </c>
      <c r="J151" s="152">
        <v>10273.824791328558</v>
      </c>
      <c r="K151" s="152">
        <v>0.76811940380270438</v>
      </c>
      <c r="L151" s="153">
        <v>68371957.244704857</v>
      </c>
      <c r="M151" s="154">
        <v>559279.81386261643</v>
      </c>
      <c r="N151" s="154">
        <v>754095.30733333342</v>
      </c>
      <c r="O151" s="155">
        <v>81.577976501014049</v>
      </c>
      <c r="P151" s="154">
        <v>68371957.244704857</v>
      </c>
      <c r="Q151" s="154">
        <v>559279.81386261643</v>
      </c>
      <c r="R151" s="154">
        <v>754095.30733333342</v>
      </c>
      <c r="S151" s="152">
        <v>81.577976501014049</v>
      </c>
      <c r="T151" s="153">
        <v>136743914.48940971</v>
      </c>
      <c r="U151" s="156"/>
      <c r="V151" s="157">
        <v>1</v>
      </c>
      <c r="W151" s="158">
        <v>1</v>
      </c>
      <c r="X151" s="158">
        <v>1</v>
      </c>
      <c r="Y151" s="158">
        <v>1</v>
      </c>
      <c r="Z151" s="158">
        <v>1</v>
      </c>
      <c r="AA151" s="159">
        <v>1</v>
      </c>
      <c r="AB151" s="158">
        <v>1</v>
      </c>
      <c r="AC151" s="158">
        <v>1</v>
      </c>
      <c r="AD151" s="158">
        <v>1</v>
      </c>
      <c r="AE151" s="160">
        <v>1</v>
      </c>
      <c r="AF151" s="170">
        <v>1</v>
      </c>
      <c r="AG151" s="158">
        <v>1</v>
      </c>
      <c r="AH151" s="158">
        <v>1</v>
      </c>
      <c r="AI151" s="158">
        <v>1</v>
      </c>
      <c r="AJ151" s="158">
        <v>1</v>
      </c>
      <c r="AK151" s="73">
        <f t="shared" si="13"/>
        <v>74.764697608141233</v>
      </c>
      <c r="AL151" s="162"/>
      <c r="AM151" s="163"/>
      <c r="AN151" s="164"/>
      <c r="AO151" s="170" t="s">
        <v>49</v>
      </c>
      <c r="AP151" s="70">
        <f t="shared" si="14"/>
        <v>0.49</v>
      </c>
      <c r="AQ151" s="72">
        <f>IF(head!F$82="S235",235,IF(head!F$82="S275",275,IF(head!F$82="S355",355,IF(head!F$82="S420",420,460))))^0.5*head!$G$70*1000/(S151*3.1416*210000^0.5)</f>
        <v>1.6042820054488056</v>
      </c>
      <c r="AR151" s="72">
        <f t="shared" si="15"/>
        <v>2.1309094678383782</v>
      </c>
      <c r="AS151" s="72">
        <f t="shared" si="16"/>
        <v>0.28301139460450225</v>
      </c>
      <c r="AT151" s="52">
        <f>IF(head!F$82="S235",235,IF(head!F$82="S275",275,IF(head!F$82="S355",355,IF(head!F$82="S420",420,460))))*AS151*J151/1000</f>
        <v>1032.2013661512526</v>
      </c>
      <c r="AU151" s="192" t="s">
        <v>47</v>
      </c>
      <c r="AV151" s="75" t="s">
        <v>47</v>
      </c>
      <c r="AW151" s="75" t="s">
        <v>47</v>
      </c>
      <c r="AX151" s="76" t="s">
        <v>47</v>
      </c>
      <c r="AY151" s="67" t="s">
        <v>47</v>
      </c>
      <c r="AZ151" s="193">
        <v>0</v>
      </c>
      <c r="BA151" s="169" t="str">
        <f t="shared" si="17"/>
        <v>CF CHS 244,5 x 16</v>
      </c>
      <c r="BB151" s="145"/>
    </row>
    <row r="152" spans="1:54" s="146" customFormat="1" ht="13.5" customHeight="1">
      <c r="A152" s="147" t="s">
        <v>436</v>
      </c>
      <c r="B152" s="62">
        <f t="shared" si="12"/>
        <v>1140.569208598112</v>
      </c>
      <c r="C152" s="149">
        <v>244.5</v>
      </c>
      <c r="D152" s="149"/>
      <c r="E152" s="150" t="s">
        <v>831</v>
      </c>
      <c r="F152" s="149"/>
      <c r="G152" s="149"/>
      <c r="H152" s="151">
        <v>90.162452520965616</v>
      </c>
      <c r="I152" s="152">
        <v>91.885301932194253</v>
      </c>
      <c r="J152" s="152">
        <v>11485.662741524284</v>
      </c>
      <c r="K152" s="152">
        <v>0.76811940380270438</v>
      </c>
      <c r="L152" s="153">
        <v>75329078.017247692</v>
      </c>
      <c r="M152" s="154">
        <v>616188.77723719995</v>
      </c>
      <c r="N152" s="154">
        <v>836761.33333333337</v>
      </c>
      <c r="O152" s="155">
        <v>80.984759368661457</v>
      </c>
      <c r="P152" s="154">
        <v>75329078.017247692</v>
      </c>
      <c r="Q152" s="154">
        <v>616188.77723719995</v>
      </c>
      <c r="R152" s="154">
        <v>836761.33333333337</v>
      </c>
      <c r="S152" s="152">
        <v>80.984759368661457</v>
      </c>
      <c r="T152" s="153">
        <v>150658156.03449538</v>
      </c>
      <c r="U152" s="156"/>
      <c r="V152" s="157">
        <v>1</v>
      </c>
      <c r="W152" s="158">
        <v>1</v>
      </c>
      <c r="X152" s="158">
        <v>1</v>
      </c>
      <c r="Y152" s="158">
        <v>1</v>
      </c>
      <c r="Z152" s="158">
        <v>1</v>
      </c>
      <c r="AA152" s="159">
        <v>1</v>
      </c>
      <c r="AB152" s="158">
        <v>1</v>
      </c>
      <c r="AC152" s="158">
        <v>1</v>
      </c>
      <c r="AD152" s="158">
        <v>1</v>
      </c>
      <c r="AE152" s="160">
        <v>1</v>
      </c>
      <c r="AF152" s="170">
        <v>1</v>
      </c>
      <c r="AG152" s="158">
        <v>1</v>
      </c>
      <c r="AH152" s="158">
        <v>1</v>
      </c>
      <c r="AI152" s="158">
        <v>1</v>
      </c>
      <c r="AJ152" s="158">
        <v>1</v>
      </c>
      <c r="AK152" s="73">
        <f t="shared" si="13"/>
        <v>66.876367614879641</v>
      </c>
      <c r="AL152" s="162"/>
      <c r="AM152" s="163"/>
      <c r="AN152" s="164"/>
      <c r="AO152" s="170" t="s">
        <v>49</v>
      </c>
      <c r="AP152" s="70">
        <f t="shared" si="14"/>
        <v>0.49</v>
      </c>
      <c r="AQ152" s="72">
        <f>IF(head!F$82="S235",235,IF(head!F$82="S275",275,IF(head!F$82="S355",355,IF(head!F$82="S420",420,460))))^0.5*head!$G$70*1000/(S152*3.1416*210000^0.5)</f>
        <v>1.6160334458207515</v>
      </c>
      <c r="AR152" s="72">
        <f t="shared" si="15"/>
        <v>2.1527102432317298</v>
      </c>
      <c r="AS152" s="72">
        <f t="shared" si="16"/>
        <v>0.2797288308422976</v>
      </c>
      <c r="AT152" s="52">
        <f>IF(head!F$82="S235",235,IF(head!F$82="S275",275,IF(head!F$82="S355",355,IF(head!F$82="S420",420,460))))*AS152*J152/1000</f>
        <v>1140.569208598112</v>
      </c>
      <c r="AU152" s="192" t="s">
        <v>47</v>
      </c>
      <c r="AV152" s="75" t="s">
        <v>47</v>
      </c>
      <c r="AW152" s="75" t="s">
        <v>47</v>
      </c>
      <c r="AX152" s="76" t="s">
        <v>47</v>
      </c>
      <c r="AY152" s="67" t="s">
        <v>47</v>
      </c>
      <c r="AZ152" s="193">
        <v>0</v>
      </c>
      <c r="BA152" s="169" t="str">
        <f t="shared" si="17"/>
        <v>CF CHS 244,5 x 20</v>
      </c>
      <c r="BB152" s="145"/>
    </row>
    <row r="153" spans="1:54" s="146" customFormat="1" ht="13.5" customHeight="1">
      <c r="A153" s="147" t="s">
        <v>437</v>
      </c>
      <c r="B153" s="62">
        <f t="shared" si="12"/>
        <v>1364.8703094793311</v>
      </c>
      <c r="C153" s="149">
        <v>244.5</v>
      </c>
      <c r="D153" s="149"/>
      <c r="E153" s="150" t="s">
        <v>833</v>
      </c>
      <c r="F153" s="149"/>
      <c r="G153" s="149"/>
      <c r="H153" s="151">
        <v>110.73014546475264</v>
      </c>
      <c r="I153" s="152">
        <v>112.84600811694537</v>
      </c>
      <c r="J153" s="152">
        <v>14105.75101461817</v>
      </c>
      <c r="K153" s="152">
        <v>0.76811940380270438</v>
      </c>
      <c r="L153" s="153">
        <v>89571959.747544587</v>
      </c>
      <c r="M153" s="154">
        <v>732694.96726007841</v>
      </c>
      <c r="N153" s="154">
        <v>1010671.6666666666</v>
      </c>
      <c r="O153" s="155">
        <v>79.687083332244001</v>
      </c>
      <c r="P153" s="154">
        <v>89571959.747544587</v>
      </c>
      <c r="Q153" s="154">
        <v>732694.96726007841</v>
      </c>
      <c r="R153" s="154">
        <v>1010671.6666666666</v>
      </c>
      <c r="S153" s="152">
        <v>79.687083332244001</v>
      </c>
      <c r="T153" s="153">
        <v>179143919.49508917</v>
      </c>
      <c r="U153" s="156"/>
      <c r="V153" s="157">
        <v>1</v>
      </c>
      <c r="W153" s="158">
        <v>1</v>
      </c>
      <c r="X153" s="158">
        <v>1</v>
      </c>
      <c r="Y153" s="158">
        <v>1</v>
      </c>
      <c r="Z153" s="158">
        <v>1</v>
      </c>
      <c r="AA153" s="159">
        <v>1</v>
      </c>
      <c r="AB153" s="158">
        <v>1</v>
      </c>
      <c r="AC153" s="158">
        <v>1</v>
      </c>
      <c r="AD153" s="158">
        <v>1</v>
      </c>
      <c r="AE153" s="160">
        <v>1</v>
      </c>
      <c r="AF153" s="170">
        <v>1</v>
      </c>
      <c r="AG153" s="158">
        <v>1</v>
      </c>
      <c r="AH153" s="158">
        <v>1</v>
      </c>
      <c r="AI153" s="158">
        <v>1</v>
      </c>
      <c r="AJ153" s="158">
        <v>1</v>
      </c>
      <c r="AK153" s="73">
        <f t="shared" si="13"/>
        <v>54.454342984409799</v>
      </c>
      <c r="AL153" s="162"/>
      <c r="AM153" s="163"/>
      <c r="AN153" s="164"/>
      <c r="AO153" s="170" t="s">
        <v>49</v>
      </c>
      <c r="AP153" s="70">
        <f t="shared" si="14"/>
        <v>0.49</v>
      </c>
      <c r="AQ153" s="72">
        <f>IF(head!F$82="S235",235,IF(head!F$82="S275",275,IF(head!F$82="S355",355,IF(head!F$82="S420",420,460))))^0.5*head!$G$70*1000/(S153*3.1416*210000^0.5)</f>
        <v>1.6423499803078676</v>
      </c>
      <c r="AR153" s="72">
        <f t="shared" si="15"/>
        <v>2.2020324740840542</v>
      </c>
      <c r="AS153" s="72">
        <f t="shared" si="16"/>
        <v>0.27256294919288626</v>
      </c>
      <c r="AT153" s="52">
        <f>IF(head!F$82="S235",235,IF(head!F$82="S275",275,IF(head!F$82="S355",355,IF(head!F$82="S420",420,460))))*AS153*J153/1000</f>
        <v>1364.8703094793311</v>
      </c>
      <c r="AU153" s="192" t="s">
        <v>47</v>
      </c>
      <c r="AV153" s="75" t="s">
        <v>47</v>
      </c>
      <c r="AW153" s="75" t="s">
        <v>47</v>
      </c>
      <c r="AX153" s="76" t="s">
        <v>47</v>
      </c>
      <c r="AY153" s="67" t="s">
        <v>47</v>
      </c>
      <c r="AZ153" s="193">
        <v>0</v>
      </c>
      <c r="BA153" s="169" t="str">
        <f t="shared" si="17"/>
        <v>CF CHS 273 x 5,6</v>
      </c>
      <c r="BB153" s="145"/>
    </row>
    <row r="154" spans="1:54" s="146" customFormat="1" ht="13.5" customHeight="1">
      <c r="A154" s="147" t="s">
        <v>438</v>
      </c>
      <c r="B154" s="62">
        <f t="shared" si="12"/>
        <v>593.20659413922169</v>
      </c>
      <c r="C154" s="149">
        <v>273</v>
      </c>
      <c r="D154" s="149"/>
      <c r="E154" s="150">
        <v>5.6</v>
      </c>
      <c r="F154" s="149"/>
      <c r="G154" s="149"/>
      <c r="H154" s="151">
        <v>36.929120050053236</v>
      </c>
      <c r="I154" s="152">
        <v>37.634772025531959</v>
      </c>
      <c r="J154" s="152">
        <v>4704.3465031914957</v>
      </c>
      <c r="K154" s="152">
        <v>0.85765479443001358</v>
      </c>
      <c r="L154" s="153">
        <v>42065160.910110123</v>
      </c>
      <c r="M154" s="154">
        <v>308169.67699714378</v>
      </c>
      <c r="N154" s="154">
        <v>400473.99466666637</v>
      </c>
      <c r="O154" s="155">
        <v>94.560906298533354</v>
      </c>
      <c r="P154" s="154">
        <v>42065160.910110123</v>
      </c>
      <c r="Q154" s="154">
        <v>308169.67699714378</v>
      </c>
      <c r="R154" s="154">
        <v>400473.99466666637</v>
      </c>
      <c r="S154" s="152">
        <v>94.560906298533354</v>
      </c>
      <c r="T154" s="153">
        <v>84130321.820220247</v>
      </c>
      <c r="U154" s="156"/>
      <c r="V154" s="157">
        <v>1</v>
      </c>
      <c r="W154" s="158">
        <v>2</v>
      </c>
      <c r="X154" s="158">
        <v>3</v>
      </c>
      <c r="Y154" s="158">
        <v>3</v>
      </c>
      <c r="Z154" s="158">
        <v>4</v>
      </c>
      <c r="AA154" s="159">
        <v>2</v>
      </c>
      <c r="AB154" s="158">
        <v>3</v>
      </c>
      <c r="AC154" s="158">
        <v>4</v>
      </c>
      <c r="AD154" s="158">
        <v>4</v>
      </c>
      <c r="AE154" s="160">
        <v>4</v>
      </c>
      <c r="AF154" s="170">
        <v>2</v>
      </c>
      <c r="AG154" s="158">
        <v>3</v>
      </c>
      <c r="AH154" s="158">
        <v>4</v>
      </c>
      <c r="AI154" s="158">
        <v>4</v>
      </c>
      <c r="AJ154" s="158">
        <v>4</v>
      </c>
      <c r="AK154" s="73">
        <f t="shared" si="13"/>
        <v>182.31114435302933</v>
      </c>
      <c r="AL154" s="162"/>
      <c r="AM154" s="163"/>
      <c r="AN154" s="164"/>
      <c r="AO154" s="170" t="s">
        <v>49</v>
      </c>
      <c r="AP154" s="70">
        <f t="shared" si="14"/>
        <v>0.49</v>
      </c>
      <c r="AQ154" s="72">
        <f>IF(head!F$82="S235",235,IF(head!F$82="S275",275,IF(head!F$82="S355",355,IF(head!F$82="S420",420,460))))^0.5*head!$G$70*1000/(S154*3.1416*210000^0.5)</f>
        <v>1.3840188812100274</v>
      </c>
      <c r="AR154" s="72">
        <f t="shared" si="15"/>
        <v>1.7478387576693846</v>
      </c>
      <c r="AS154" s="72">
        <f t="shared" si="16"/>
        <v>0.35520438160738921</v>
      </c>
      <c r="AT154" s="52">
        <f>IF(head!F$82="S235",235,IF(head!F$82="S275",275,IF(head!F$82="S355",355,IF(head!F$82="S420",420,460))))*AS154*J154/1000</f>
        <v>593.20659413922169</v>
      </c>
      <c r="AU154" s="192" t="s">
        <v>47</v>
      </c>
      <c r="AV154" s="75" t="s">
        <v>47</v>
      </c>
      <c r="AW154" s="75" t="s">
        <v>47</v>
      </c>
      <c r="AX154" s="76" t="s">
        <v>47</v>
      </c>
      <c r="AY154" s="67" t="s">
        <v>47</v>
      </c>
      <c r="AZ154" s="193">
        <v>0</v>
      </c>
      <c r="BA154" s="169" t="str">
        <f t="shared" si="17"/>
        <v>CF CHS 273 x 6,3</v>
      </c>
      <c r="BB154" s="145"/>
    </row>
    <row r="155" spans="1:54" s="146" customFormat="1" ht="13.5" customHeight="1">
      <c r="A155" s="147" t="s">
        <v>439</v>
      </c>
      <c r="B155" s="62">
        <f t="shared" si="12"/>
        <v>663.09866486632939</v>
      </c>
      <c r="C155" s="149">
        <v>273</v>
      </c>
      <c r="D155" s="149"/>
      <c r="E155" s="150" t="s">
        <v>824</v>
      </c>
      <c r="F155" s="149"/>
      <c r="G155" s="149"/>
      <c r="H155" s="151">
        <v>41.436502831031703</v>
      </c>
      <c r="I155" s="152">
        <v>42.228283139904917</v>
      </c>
      <c r="J155" s="152">
        <v>5278.5353924881147</v>
      </c>
      <c r="K155" s="152">
        <v>0.85765479443001358</v>
      </c>
      <c r="L155" s="153">
        <v>46958233.545390204</v>
      </c>
      <c r="M155" s="154">
        <v>344016.36296989158</v>
      </c>
      <c r="N155" s="154">
        <v>448195.35600000061</v>
      </c>
      <c r="O155" s="155">
        <v>94.318993315238458</v>
      </c>
      <c r="P155" s="154">
        <v>46958233.545390204</v>
      </c>
      <c r="Q155" s="154">
        <v>344016.36296989158</v>
      </c>
      <c r="R155" s="154">
        <v>448195.35600000061</v>
      </c>
      <c r="S155" s="152">
        <v>94.318993315238458</v>
      </c>
      <c r="T155" s="153">
        <v>93916467.090780407</v>
      </c>
      <c r="U155" s="156"/>
      <c r="V155" s="157">
        <v>1</v>
      </c>
      <c r="W155" s="158">
        <v>2</v>
      </c>
      <c r="X155" s="158">
        <v>2</v>
      </c>
      <c r="Y155" s="158">
        <v>3</v>
      </c>
      <c r="Z155" s="158">
        <v>3</v>
      </c>
      <c r="AA155" s="159">
        <v>2</v>
      </c>
      <c r="AB155" s="158">
        <v>3</v>
      </c>
      <c r="AC155" s="158">
        <v>4</v>
      </c>
      <c r="AD155" s="158">
        <v>4</v>
      </c>
      <c r="AE155" s="160">
        <v>4</v>
      </c>
      <c r="AF155" s="170">
        <v>2</v>
      </c>
      <c r="AG155" s="158">
        <v>3</v>
      </c>
      <c r="AH155" s="158">
        <v>4</v>
      </c>
      <c r="AI155" s="158">
        <v>4</v>
      </c>
      <c r="AJ155" s="158">
        <v>4</v>
      </c>
      <c r="AK155" s="73">
        <f t="shared" si="13"/>
        <v>162.47969003874491</v>
      </c>
      <c r="AL155" s="162"/>
      <c r="AM155" s="163"/>
      <c r="AN155" s="164"/>
      <c r="AO155" s="170" t="s">
        <v>49</v>
      </c>
      <c r="AP155" s="70">
        <f t="shared" si="14"/>
        <v>0.49</v>
      </c>
      <c r="AQ155" s="72">
        <f>IF(head!F$82="S235",235,IF(head!F$82="S275",275,IF(head!F$82="S355",355,IF(head!F$82="S420",420,460))))^0.5*head!$G$70*1000/(S155*3.1416*210000^0.5)</f>
        <v>1.3875686660913287</v>
      </c>
      <c r="AR155" s="72">
        <f t="shared" si="15"/>
        <v>1.7536277247516101</v>
      </c>
      <c r="AS155" s="72">
        <f t="shared" si="16"/>
        <v>0.35386398387361967</v>
      </c>
      <c r="AT155" s="52">
        <f>IF(head!F$82="S235",235,IF(head!F$82="S275",275,IF(head!F$82="S355",355,IF(head!F$82="S420",420,460))))*AS155*J155/1000</f>
        <v>663.09866486632939</v>
      </c>
      <c r="AU155" s="192" t="s">
        <v>47</v>
      </c>
      <c r="AV155" s="75" t="s">
        <v>47</v>
      </c>
      <c r="AW155" s="75" t="s">
        <v>47</v>
      </c>
      <c r="AX155" s="76" t="s">
        <v>47</v>
      </c>
      <c r="AY155" s="67" t="s">
        <v>47</v>
      </c>
      <c r="AZ155" s="193">
        <v>0</v>
      </c>
      <c r="BA155" s="169" t="str">
        <f t="shared" si="17"/>
        <v>CF CHS 273 x 8</v>
      </c>
      <c r="BB155" s="145"/>
    </row>
    <row r="156" spans="1:54" s="146" customFormat="1" ht="13.5" customHeight="1">
      <c r="A156" s="147" t="s">
        <v>440</v>
      </c>
      <c r="B156" s="62">
        <f t="shared" si="12"/>
        <v>828.99803072081659</v>
      </c>
      <c r="C156" s="149">
        <v>273</v>
      </c>
      <c r="D156" s="149"/>
      <c r="E156" s="150" t="s">
        <v>826</v>
      </c>
      <c r="F156" s="149"/>
      <c r="G156" s="149"/>
      <c r="H156" s="151">
        <v>52.282384941041336</v>
      </c>
      <c r="I156" s="152">
        <v>53.281411404882888</v>
      </c>
      <c r="J156" s="152">
        <v>6660.1764256103615</v>
      </c>
      <c r="K156" s="152">
        <v>0.85765479443001358</v>
      </c>
      <c r="L156" s="153">
        <v>58517142.597465836</v>
      </c>
      <c r="M156" s="154">
        <v>428697.01536605012</v>
      </c>
      <c r="N156" s="154">
        <v>561970.66666666674</v>
      </c>
      <c r="O156" s="155">
        <v>93.734332024077503</v>
      </c>
      <c r="P156" s="154">
        <v>58517142.597465836</v>
      </c>
      <c r="Q156" s="154">
        <v>428697.01536605012</v>
      </c>
      <c r="R156" s="154">
        <v>561970.66666666674</v>
      </c>
      <c r="S156" s="152">
        <v>93.734332024077503</v>
      </c>
      <c r="T156" s="153">
        <v>117034285.19493167</v>
      </c>
      <c r="U156" s="156"/>
      <c r="V156" s="157">
        <v>1</v>
      </c>
      <c r="W156" s="158">
        <v>1</v>
      </c>
      <c r="X156" s="158">
        <v>2</v>
      </c>
      <c r="Y156" s="158">
        <v>2</v>
      </c>
      <c r="Z156" s="158">
        <v>2</v>
      </c>
      <c r="AA156" s="159">
        <v>1</v>
      </c>
      <c r="AB156" s="158">
        <v>2</v>
      </c>
      <c r="AC156" s="158">
        <v>3</v>
      </c>
      <c r="AD156" s="158">
        <v>3</v>
      </c>
      <c r="AE156" s="160">
        <v>4</v>
      </c>
      <c r="AF156" s="170">
        <v>1</v>
      </c>
      <c r="AG156" s="158">
        <v>2</v>
      </c>
      <c r="AH156" s="158">
        <v>3</v>
      </c>
      <c r="AI156" s="158">
        <v>3</v>
      </c>
      <c r="AJ156" s="158">
        <v>4</v>
      </c>
      <c r="AK156" s="73">
        <f t="shared" si="13"/>
        <v>128.77358490566039</v>
      </c>
      <c r="AL156" s="162"/>
      <c r="AM156" s="163"/>
      <c r="AN156" s="164"/>
      <c r="AO156" s="170" t="s">
        <v>49</v>
      </c>
      <c r="AP156" s="70">
        <f t="shared" si="14"/>
        <v>0.49</v>
      </c>
      <c r="AQ156" s="72">
        <f>IF(head!F$82="S235",235,IF(head!F$82="S275",275,IF(head!F$82="S355",355,IF(head!F$82="S420",420,460))))^0.5*head!$G$70*1000/(S156*3.1416*210000^0.5)</f>
        <v>1.3962235278732746</v>
      </c>
      <c r="AR156" s="72">
        <f t="shared" si="15"/>
        <v>1.7677948342223988</v>
      </c>
      <c r="AS156" s="72">
        <f t="shared" si="16"/>
        <v>0.35062220144210704</v>
      </c>
      <c r="AT156" s="52">
        <f>IF(head!F$82="S235",235,IF(head!F$82="S275",275,IF(head!F$82="S355",355,IF(head!F$82="S420",420,460))))*AS156*J156/1000</f>
        <v>828.99803072081659</v>
      </c>
      <c r="AU156" s="192" t="s">
        <v>47</v>
      </c>
      <c r="AV156" s="75" t="s">
        <v>47</v>
      </c>
      <c r="AW156" s="75" t="s">
        <v>47</v>
      </c>
      <c r="AX156" s="76" t="s">
        <v>47</v>
      </c>
      <c r="AY156" s="67" t="s">
        <v>47</v>
      </c>
      <c r="AZ156" s="193">
        <v>0</v>
      </c>
      <c r="BA156" s="169" t="str">
        <f t="shared" si="17"/>
        <v>CF CHS 273 x 10</v>
      </c>
      <c r="BB156" s="145"/>
    </row>
    <row r="157" spans="1:54" s="146" customFormat="1" ht="13.5" customHeight="1">
      <c r="A157" s="147" t="s">
        <v>441</v>
      </c>
      <c r="B157" s="62">
        <f t="shared" si="12"/>
        <v>1017.3143810822486</v>
      </c>
      <c r="C157" s="149">
        <v>273</v>
      </c>
      <c r="D157" s="149"/>
      <c r="E157" s="150">
        <v>10</v>
      </c>
      <c r="F157" s="149"/>
      <c r="G157" s="149"/>
      <c r="H157" s="151">
        <v>64.859751129688064</v>
      </c>
      <c r="I157" s="152">
        <v>66.099109431529243</v>
      </c>
      <c r="J157" s="152">
        <v>8262.3886789411554</v>
      </c>
      <c r="K157" s="152">
        <v>0.85765479443001358</v>
      </c>
      <c r="L157" s="153">
        <v>71540925.175196871</v>
      </c>
      <c r="M157" s="154">
        <v>524109.34194283426</v>
      </c>
      <c r="N157" s="154">
        <v>692023.33333333326</v>
      </c>
      <c r="O157" s="155">
        <v>93.051732923143362</v>
      </c>
      <c r="P157" s="154">
        <v>71540925.175196871</v>
      </c>
      <c r="Q157" s="154">
        <v>524109.34194283426</v>
      </c>
      <c r="R157" s="154">
        <v>692023.33333333326</v>
      </c>
      <c r="S157" s="152">
        <v>93.051732923143362</v>
      </c>
      <c r="T157" s="153">
        <v>143081850.35039374</v>
      </c>
      <c r="U157" s="156"/>
      <c r="V157" s="157">
        <v>1</v>
      </c>
      <c r="W157" s="158">
        <v>1</v>
      </c>
      <c r="X157" s="158">
        <v>1</v>
      </c>
      <c r="Y157" s="158">
        <v>1</v>
      </c>
      <c r="Z157" s="158">
        <v>2</v>
      </c>
      <c r="AA157" s="159">
        <v>1</v>
      </c>
      <c r="AB157" s="158">
        <v>1</v>
      </c>
      <c r="AC157" s="158">
        <v>2</v>
      </c>
      <c r="AD157" s="158">
        <v>2</v>
      </c>
      <c r="AE157" s="160">
        <v>3</v>
      </c>
      <c r="AF157" s="170">
        <v>1</v>
      </c>
      <c r="AG157" s="158">
        <v>1</v>
      </c>
      <c r="AH157" s="158">
        <v>2</v>
      </c>
      <c r="AI157" s="158">
        <v>2</v>
      </c>
      <c r="AJ157" s="158">
        <v>3</v>
      </c>
      <c r="AK157" s="73">
        <f t="shared" si="13"/>
        <v>103.8022813688213</v>
      </c>
      <c r="AL157" s="162"/>
      <c r="AM157" s="163"/>
      <c r="AN157" s="164"/>
      <c r="AO157" s="170" t="s">
        <v>49</v>
      </c>
      <c r="AP157" s="70">
        <f t="shared" si="14"/>
        <v>0.49</v>
      </c>
      <c r="AQ157" s="72">
        <f>IF(head!F$82="S235",235,IF(head!F$82="S275",275,IF(head!F$82="S355",355,IF(head!F$82="S420",420,460))))^0.5*head!$G$70*1000/(S157*3.1416*210000^0.5)</f>
        <v>1.4064657973602552</v>
      </c>
      <c r="AR157" s="72">
        <f t="shared" si="15"/>
        <v>1.7846571399253719</v>
      </c>
      <c r="AS157" s="72">
        <f t="shared" si="16"/>
        <v>0.34683363664694911</v>
      </c>
      <c r="AT157" s="52">
        <f>IF(head!F$82="S235",235,IF(head!F$82="S275",275,IF(head!F$82="S355",355,IF(head!F$82="S420",420,460))))*AS157*J157/1000</f>
        <v>1017.3143810822486</v>
      </c>
      <c r="AU157" s="192" t="s">
        <v>47</v>
      </c>
      <c r="AV157" s="75" t="s">
        <v>47</v>
      </c>
      <c r="AW157" s="75" t="s">
        <v>47</v>
      </c>
      <c r="AX157" s="76" t="s">
        <v>47</v>
      </c>
      <c r="AY157" s="67" t="s">
        <v>47</v>
      </c>
      <c r="AZ157" s="193">
        <v>0</v>
      </c>
      <c r="BA157" s="169" t="str">
        <f t="shared" si="17"/>
        <v>CF CHS 273 x 12,5</v>
      </c>
      <c r="BB157" s="145"/>
    </row>
    <row r="158" spans="1:54" s="146" customFormat="1" ht="13.5" customHeight="1">
      <c r="A158" s="147" t="s">
        <v>442</v>
      </c>
      <c r="B158" s="62">
        <f t="shared" si="12"/>
        <v>1242.5034021761783</v>
      </c>
      <c r="C158" s="149">
        <v>273</v>
      </c>
      <c r="D158" s="149"/>
      <c r="E158" s="150" t="s">
        <v>829</v>
      </c>
      <c r="F158" s="149"/>
      <c r="G158" s="149"/>
      <c r="H158" s="151">
        <v>80.304016964276343</v>
      </c>
      <c r="I158" s="152">
        <v>81.838488626014112</v>
      </c>
      <c r="J158" s="152">
        <v>10229.811078251763</v>
      </c>
      <c r="K158" s="152">
        <v>0.85765479443001358</v>
      </c>
      <c r="L158" s="153">
        <v>86974493.150488883</v>
      </c>
      <c r="M158" s="154">
        <v>637175.77399625571</v>
      </c>
      <c r="N158" s="154">
        <v>848904.16666666674</v>
      </c>
      <c r="O158" s="155">
        <v>92.206629371211704</v>
      </c>
      <c r="P158" s="154">
        <v>86974493.150488883</v>
      </c>
      <c r="Q158" s="154">
        <v>637175.77399625571</v>
      </c>
      <c r="R158" s="154">
        <v>848904.16666666674</v>
      </c>
      <c r="S158" s="152">
        <v>92.206629371211704</v>
      </c>
      <c r="T158" s="153">
        <v>173948986.30097777</v>
      </c>
      <c r="U158" s="156"/>
      <c r="V158" s="157">
        <v>1</v>
      </c>
      <c r="W158" s="158">
        <v>1</v>
      </c>
      <c r="X158" s="158">
        <v>1</v>
      </c>
      <c r="Y158" s="158">
        <v>1</v>
      </c>
      <c r="Z158" s="158">
        <v>1</v>
      </c>
      <c r="AA158" s="159">
        <v>1</v>
      </c>
      <c r="AB158" s="158">
        <v>1</v>
      </c>
      <c r="AC158" s="158">
        <v>1</v>
      </c>
      <c r="AD158" s="158">
        <v>2</v>
      </c>
      <c r="AE158" s="160">
        <v>2</v>
      </c>
      <c r="AF158" s="170">
        <v>1</v>
      </c>
      <c r="AG158" s="158">
        <v>1</v>
      </c>
      <c r="AH158" s="158">
        <v>1</v>
      </c>
      <c r="AI158" s="158">
        <v>2</v>
      </c>
      <c r="AJ158" s="158">
        <v>2</v>
      </c>
      <c r="AK158" s="73">
        <f t="shared" si="13"/>
        <v>83.838771593090215</v>
      </c>
      <c r="AL158" s="162"/>
      <c r="AM158" s="163"/>
      <c r="AN158" s="164"/>
      <c r="AO158" s="170" t="s">
        <v>49</v>
      </c>
      <c r="AP158" s="70">
        <f t="shared" si="14"/>
        <v>0.49</v>
      </c>
      <c r="AQ158" s="72">
        <f>IF(head!F$82="S235",235,IF(head!F$82="S275",275,IF(head!F$82="S355",355,IF(head!F$82="S420",420,460))))^0.5*head!$G$70*1000/(S158*3.1416*210000^0.5)</f>
        <v>1.4193565108493513</v>
      </c>
      <c r="AR158" s="72">
        <f t="shared" si="15"/>
        <v>1.8060287976033134</v>
      </c>
      <c r="AS158" s="72">
        <f t="shared" si="16"/>
        <v>0.34213824251708536</v>
      </c>
      <c r="AT158" s="52">
        <f>IF(head!F$82="S235",235,IF(head!F$82="S275",275,IF(head!F$82="S355",355,IF(head!F$82="S420",420,460))))*AS158*J158/1000</f>
        <v>1242.5034021761783</v>
      </c>
      <c r="AU158" s="192" t="s">
        <v>47</v>
      </c>
      <c r="AV158" s="75" t="s">
        <v>47</v>
      </c>
      <c r="AW158" s="75" t="s">
        <v>47</v>
      </c>
      <c r="AX158" s="76" t="s">
        <v>47</v>
      </c>
      <c r="AY158" s="67" t="s">
        <v>47</v>
      </c>
      <c r="AZ158" s="193">
        <v>0</v>
      </c>
      <c r="BA158" s="169" t="str">
        <f t="shared" si="17"/>
        <v>CF CHS 273 x 14,2</v>
      </c>
      <c r="BB158" s="145"/>
    </row>
    <row r="159" spans="1:54" s="146" customFormat="1" ht="13.5" customHeight="1">
      <c r="A159" s="147" t="s">
        <v>443</v>
      </c>
      <c r="B159" s="62">
        <f t="shared" si="12"/>
        <v>1389.2961643620013</v>
      </c>
      <c r="C159" s="149">
        <v>273</v>
      </c>
      <c r="D159" s="149"/>
      <c r="E159" s="150" t="s">
        <v>830</v>
      </c>
      <c r="F159" s="149"/>
      <c r="G159" s="149"/>
      <c r="H159" s="151">
        <v>90.63003460515533</v>
      </c>
      <c r="I159" s="152">
        <v>92.361818705890784</v>
      </c>
      <c r="J159" s="152">
        <v>11545.227338236349</v>
      </c>
      <c r="K159" s="152">
        <v>0.85765479443001358</v>
      </c>
      <c r="L159" s="153">
        <v>96949718.871695817</v>
      </c>
      <c r="M159" s="154">
        <v>710254.35070839431</v>
      </c>
      <c r="N159" s="154">
        <v>952034.07733333355</v>
      </c>
      <c r="O159" s="155">
        <v>91.63724679408476</v>
      </c>
      <c r="P159" s="154">
        <v>96949718.871695817</v>
      </c>
      <c r="Q159" s="154">
        <v>710254.35070839431</v>
      </c>
      <c r="R159" s="154">
        <v>952034.07733333355</v>
      </c>
      <c r="S159" s="152">
        <v>91.63724679408476</v>
      </c>
      <c r="T159" s="153">
        <v>193899437.74339163</v>
      </c>
      <c r="U159" s="156"/>
      <c r="V159" s="157">
        <v>1</v>
      </c>
      <c r="W159" s="158">
        <v>1</v>
      </c>
      <c r="X159" s="158">
        <v>1</v>
      </c>
      <c r="Y159" s="158">
        <v>1</v>
      </c>
      <c r="Z159" s="158">
        <v>1</v>
      </c>
      <c r="AA159" s="159">
        <v>1</v>
      </c>
      <c r="AB159" s="158">
        <v>1</v>
      </c>
      <c r="AC159" s="158">
        <v>1</v>
      </c>
      <c r="AD159" s="158">
        <v>1</v>
      </c>
      <c r="AE159" s="160">
        <v>2</v>
      </c>
      <c r="AF159" s="170">
        <v>1</v>
      </c>
      <c r="AG159" s="158">
        <v>1</v>
      </c>
      <c r="AH159" s="158">
        <v>1</v>
      </c>
      <c r="AI159" s="158">
        <v>1</v>
      </c>
      <c r="AJ159" s="158">
        <v>2</v>
      </c>
      <c r="AK159" s="73">
        <f t="shared" si="13"/>
        <v>74.286522846507168</v>
      </c>
      <c r="AL159" s="162"/>
      <c r="AM159" s="163"/>
      <c r="AN159" s="164"/>
      <c r="AO159" s="170" t="s">
        <v>49</v>
      </c>
      <c r="AP159" s="70">
        <f t="shared" si="14"/>
        <v>0.49</v>
      </c>
      <c r="AQ159" s="72">
        <f>IF(head!F$82="S235",235,IF(head!F$82="S275",275,IF(head!F$82="S355",355,IF(head!F$82="S420",420,460))))^0.5*head!$G$70*1000/(S159*3.1416*210000^0.5)</f>
        <v>1.4281755980249544</v>
      </c>
      <c r="AR159" s="72">
        <f t="shared" si="15"/>
        <v>1.8207457909130818</v>
      </c>
      <c r="AS159" s="72">
        <f t="shared" si="16"/>
        <v>0.33897213172974305</v>
      </c>
      <c r="AT159" s="52">
        <f>IF(head!F$82="S235",235,IF(head!F$82="S275",275,IF(head!F$82="S355",355,IF(head!F$82="S420",420,460))))*AS159*J159/1000</f>
        <v>1389.2961643620013</v>
      </c>
      <c r="AU159" s="192" t="s">
        <v>47</v>
      </c>
      <c r="AV159" s="75" t="s">
        <v>47</v>
      </c>
      <c r="AW159" s="75" t="s">
        <v>47</v>
      </c>
      <c r="AX159" s="76" t="s">
        <v>47</v>
      </c>
      <c r="AY159" s="67" t="s">
        <v>47</v>
      </c>
      <c r="AZ159" s="193">
        <v>0</v>
      </c>
      <c r="BA159" s="169" t="str">
        <f t="shared" si="17"/>
        <v>CF CHS 273 x 16</v>
      </c>
      <c r="BB159" s="145"/>
    </row>
    <row r="160" spans="1:54" s="146" customFormat="1" ht="13.5" customHeight="1">
      <c r="A160" s="147" t="s">
        <v>444</v>
      </c>
      <c r="B160" s="62">
        <f t="shared" si="12"/>
        <v>1539.2555174227157</v>
      </c>
      <c r="C160" s="149">
        <v>273</v>
      </c>
      <c r="D160" s="149"/>
      <c r="E160" s="150" t="s">
        <v>831</v>
      </c>
      <c r="F160" s="149"/>
      <c r="G160" s="149"/>
      <c r="H160" s="151">
        <v>101.40809758375563</v>
      </c>
      <c r="I160" s="152">
        <v>103.34583193248982</v>
      </c>
      <c r="J160" s="152">
        <v>12918.228991561229</v>
      </c>
      <c r="K160" s="152">
        <v>0.85765479443001358</v>
      </c>
      <c r="L160" s="153">
        <v>107067896.66068339</v>
      </c>
      <c r="M160" s="154">
        <v>784380.19531636185</v>
      </c>
      <c r="N160" s="154">
        <v>1058149.3333333333</v>
      </c>
      <c r="O160" s="155">
        <v>91.03913993442599</v>
      </c>
      <c r="P160" s="154">
        <v>107067896.66068339</v>
      </c>
      <c r="Q160" s="154">
        <v>784380.19531636185</v>
      </c>
      <c r="R160" s="154">
        <v>1058149.3333333333</v>
      </c>
      <c r="S160" s="152">
        <v>91.03913993442599</v>
      </c>
      <c r="T160" s="153">
        <v>214135793.32136679</v>
      </c>
      <c r="U160" s="156"/>
      <c r="V160" s="157">
        <v>1</v>
      </c>
      <c r="W160" s="158">
        <v>1</v>
      </c>
      <c r="X160" s="158">
        <v>1</v>
      </c>
      <c r="Y160" s="158">
        <v>1</v>
      </c>
      <c r="Z160" s="158">
        <v>1</v>
      </c>
      <c r="AA160" s="159">
        <v>1</v>
      </c>
      <c r="AB160" s="158">
        <v>1</v>
      </c>
      <c r="AC160" s="158">
        <v>1</v>
      </c>
      <c r="AD160" s="158">
        <v>1</v>
      </c>
      <c r="AE160" s="160">
        <v>1</v>
      </c>
      <c r="AF160" s="170">
        <v>1</v>
      </c>
      <c r="AG160" s="158">
        <v>1</v>
      </c>
      <c r="AH160" s="158">
        <v>1</v>
      </c>
      <c r="AI160" s="158">
        <v>1</v>
      </c>
      <c r="AJ160" s="158">
        <v>1</v>
      </c>
      <c r="AK160" s="73">
        <f t="shared" si="13"/>
        <v>66.391050583657588</v>
      </c>
      <c r="AL160" s="162"/>
      <c r="AM160" s="163"/>
      <c r="AN160" s="164"/>
      <c r="AO160" s="170" t="s">
        <v>49</v>
      </c>
      <c r="AP160" s="70">
        <f t="shared" si="14"/>
        <v>0.49</v>
      </c>
      <c r="AQ160" s="72">
        <f>IF(head!F$82="S235",235,IF(head!F$82="S275",275,IF(head!F$82="S355",355,IF(head!F$82="S420",420,460))))^0.5*head!$G$70*1000/(S160*3.1416*210000^0.5)</f>
        <v>1.4375583934093492</v>
      </c>
      <c r="AR160" s="72">
        <f t="shared" si="15"/>
        <v>1.8364888736161251</v>
      </c>
      <c r="AS160" s="72">
        <f t="shared" si="16"/>
        <v>0.33564438576108158</v>
      </c>
      <c r="AT160" s="52">
        <f>IF(head!F$82="S235",235,IF(head!F$82="S275",275,IF(head!F$82="S355",355,IF(head!F$82="S420",420,460))))*AS160*J160/1000</f>
        <v>1539.2555174227157</v>
      </c>
      <c r="AU160" s="192" t="s">
        <v>47</v>
      </c>
      <c r="AV160" s="75" t="s">
        <v>47</v>
      </c>
      <c r="AW160" s="75" t="s">
        <v>47</v>
      </c>
      <c r="AX160" s="76" t="s">
        <v>47</v>
      </c>
      <c r="AY160" s="67" t="s">
        <v>47</v>
      </c>
      <c r="AZ160" s="193">
        <v>0</v>
      </c>
      <c r="BA160" s="169" t="str">
        <f t="shared" si="17"/>
        <v>CF CHS 273 x 20</v>
      </c>
      <c r="BB160" s="145"/>
    </row>
    <row r="161" spans="1:54" s="146" customFormat="1" ht="13.5" customHeight="1">
      <c r="A161" s="147" t="s">
        <v>445</v>
      </c>
      <c r="B161" s="62">
        <f t="shared" si="12"/>
        <v>1852.9281768284538</v>
      </c>
      <c r="C161" s="149">
        <v>273</v>
      </c>
      <c r="D161" s="149"/>
      <c r="E161" s="150" t="s">
        <v>833</v>
      </c>
      <c r="F161" s="149"/>
      <c r="G161" s="149"/>
      <c r="H161" s="151">
        <v>124.78720179324017</v>
      </c>
      <c r="I161" s="152">
        <v>127.17167061731483</v>
      </c>
      <c r="J161" s="152">
        <v>15896.458827164353</v>
      </c>
      <c r="K161" s="152">
        <v>0.85765479443001358</v>
      </c>
      <c r="L161" s="153">
        <v>127984377.0748536</v>
      </c>
      <c r="M161" s="154">
        <v>937614.48406486143</v>
      </c>
      <c r="N161" s="154">
        <v>1282846.6666666665</v>
      </c>
      <c r="O161" s="155">
        <v>89.728061385499686</v>
      </c>
      <c r="P161" s="154">
        <v>127984377.0748536</v>
      </c>
      <c r="Q161" s="154">
        <v>937614.48406486143</v>
      </c>
      <c r="R161" s="154">
        <v>1282846.6666666665</v>
      </c>
      <c r="S161" s="152">
        <v>89.728061385499686</v>
      </c>
      <c r="T161" s="153">
        <v>255968754.1497072</v>
      </c>
      <c r="U161" s="156"/>
      <c r="V161" s="157">
        <v>1</v>
      </c>
      <c r="W161" s="158">
        <v>1</v>
      </c>
      <c r="X161" s="158">
        <v>1</v>
      </c>
      <c r="Y161" s="158">
        <v>1</v>
      </c>
      <c r="Z161" s="158">
        <v>1</v>
      </c>
      <c r="AA161" s="159">
        <v>1</v>
      </c>
      <c r="AB161" s="158">
        <v>1</v>
      </c>
      <c r="AC161" s="158">
        <v>1</v>
      </c>
      <c r="AD161" s="158">
        <v>1</v>
      </c>
      <c r="AE161" s="160">
        <v>1</v>
      </c>
      <c r="AF161" s="170">
        <v>1</v>
      </c>
      <c r="AG161" s="158">
        <v>1</v>
      </c>
      <c r="AH161" s="158">
        <v>1</v>
      </c>
      <c r="AI161" s="158">
        <v>1</v>
      </c>
      <c r="AJ161" s="158">
        <v>1</v>
      </c>
      <c r="AK161" s="73">
        <f t="shared" si="13"/>
        <v>53.952569169960476</v>
      </c>
      <c r="AL161" s="162"/>
      <c r="AM161" s="163"/>
      <c r="AN161" s="164"/>
      <c r="AO161" s="170" t="s">
        <v>49</v>
      </c>
      <c r="AP161" s="70">
        <f t="shared" si="14"/>
        <v>0.49</v>
      </c>
      <c r="AQ161" s="72">
        <f>IF(head!F$82="S235",235,IF(head!F$82="S275",275,IF(head!F$82="S355",355,IF(head!F$82="S420",420,460))))^0.5*head!$G$70*1000/(S161*3.1416*210000^0.5)</f>
        <v>1.4585635499158571</v>
      </c>
      <c r="AR161" s="72">
        <f t="shared" si="15"/>
        <v>1.8720518843009586</v>
      </c>
      <c r="AS161" s="72">
        <f t="shared" si="16"/>
        <v>0.32834457333018086</v>
      </c>
      <c r="AT161" s="52">
        <f>IF(head!F$82="S235",235,IF(head!F$82="S275",275,IF(head!F$82="S355",355,IF(head!F$82="S420",420,460))))*AS161*J161/1000</f>
        <v>1852.9281768284538</v>
      </c>
      <c r="AU161" s="192" t="s">
        <v>47</v>
      </c>
      <c r="AV161" s="75" t="s">
        <v>47</v>
      </c>
      <c r="AW161" s="75" t="s">
        <v>47</v>
      </c>
      <c r="AX161" s="76" t="s">
        <v>47</v>
      </c>
      <c r="AY161" s="67" t="s">
        <v>47</v>
      </c>
      <c r="AZ161" s="193">
        <v>0</v>
      </c>
      <c r="BA161" s="169" t="str">
        <f t="shared" si="17"/>
        <v>CF CHS 323,9 x 5</v>
      </c>
      <c r="BB161" s="145"/>
    </row>
    <row r="162" spans="1:54" s="146" customFormat="1" ht="13.5" customHeight="1">
      <c r="A162" s="147" t="s">
        <v>446</v>
      </c>
      <c r="B162" s="62">
        <f t="shared" si="12"/>
        <v>805.54966299149316</v>
      </c>
      <c r="C162" s="149">
        <v>323.89999999999998</v>
      </c>
      <c r="D162" s="149"/>
      <c r="E162" s="150" t="s">
        <v>822</v>
      </c>
      <c r="F162" s="149"/>
      <c r="G162" s="149"/>
      <c r="H162" s="151">
        <v>39.322765466269061</v>
      </c>
      <c r="I162" s="152">
        <v>40.074155889191402</v>
      </c>
      <c r="J162" s="152">
        <v>5009.2694861489254</v>
      </c>
      <c r="K162" s="152">
        <v>1.0175618604977339</v>
      </c>
      <c r="L162" s="153">
        <v>63694245.32707914</v>
      </c>
      <c r="M162" s="154">
        <v>393295.74144537904</v>
      </c>
      <c r="N162" s="154">
        <v>508527.71666666615</v>
      </c>
      <c r="O162" s="155">
        <v>112.76203372589553</v>
      </c>
      <c r="P162" s="154">
        <v>63694245.32707914</v>
      </c>
      <c r="Q162" s="154">
        <v>393295.74144537904</v>
      </c>
      <c r="R162" s="154">
        <v>508527.71666666615</v>
      </c>
      <c r="S162" s="152">
        <v>112.76203372589553</v>
      </c>
      <c r="T162" s="153">
        <v>127388490.65415828</v>
      </c>
      <c r="U162" s="156"/>
      <c r="V162" s="157">
        <v>2</v>
      </c>
      <c r="W162" s="158">
        <v>3</v>
      </c>
      <c r="X162" s="158">
        <v>4</v>
      </c>
      <c r="Y162" s="158">
        <v>4</v>
      </c>
      <c r="Z162" s="158">
        <v>4</v>
      </c>
      <c r="AA162" s="159">
        <v>3</v>
      </c>
      <c r="AB162" s="158">
        <v>4</v>
      </c>
      <c r="AC162" s="158">
        <v>4</v>
      </c>
      <c r="AD162" s="158">
        <v>4</v>
      </c>
      <c r="AE162" s="160">
        <v>4</v>
      </c>
      <c r="AF162" s="170">
        <v>3</v>
      </c>
      <c r="AG162" s="158">
        <v>4</v>
      </c>
      <c r="AH162" s="158">
        <v>4</v>
      </c>
      <c r="AI162" s="158">
        <v>4</v>
      </c>
      <c r="AJ162" s="158">
        <v>4</v>
      </c>
      <c r="AK162" s="73">
        <f t="shared" si="13"/>
        <v>203.13577924114139</v>
      </c>
      <c r="AL162" s="162"/>
      <c r="AM162" s="163"/>
      <c r="AN162" s="164"/>
      <c r="AO162" s="170" t="s">
        <v>49</v>
      </c>
      <c r="AP162" s="70">
        <f t="shared" si="14"/>
        <v>0.49</v>
      </c>
      <c r="AQ162" s="72">
        <f>IF(head!F$82="S235",235,IF(head!F$82="S275",275,IF(head!F$82="S355",355,IF(head!F$82="S420",420,460))))^0.5*head!$G$70*1000/(S162*3.1416*210000^0.5)</f>
        <v>1.160621845998574</v>
      </c>
      <c r="AR162" s="72">
        <f t="shared" si="15"/>
        <v>1.4088738869742192</v>
      </c>
      <c r="AS162" s="72">
        <f t="shared" si="16"/>
        <v>0.4529909972965398</v>
      </c>
      <c r="AT162" s="52">
        <f>IF(head!F$82="S235",235,IF(head!F$82="S275",275,IF(head!F$82="S355",355,IF(head!F$82="S420",420,460))))*AS162*J162/1000</f>
        <v>805.54966299149316</v>
      </c>
      <c r="AU162" s="192" t="s">
        <v>47</v>
      </c>
      <c r="AV162" s="75" t="s">
        <v>47</v>
      </c>
      <c r="AW162" s="75" t="s">
        <v>47</v>
      </c>
      <c r="AX162" s="76" t="s">
        <v>47</v>
      </c>
      <c r="AY162" s="67" t="s">
        <v>47</v>
      </c>
      <c r="AZ162" s="193">
        <v>0</v>
      </c>
      <c r="BA162" s="169" t="str">
        <f t="shared" si="17"/>
        <v>CF CHS 323,9 x 5,6</v>
      </c>
      <c r="BB162" s="145"/>
    </row>
    <row r="163" spans="1:54" s="146" customFormat="1" ht="13.5" customHeight="1">
      <c r="A163" s="147" t="s">
        <v>447</v>
      </c>
      <c r="B163" s="62">
        <f t="shared" si="12"/>
        <v>898.38697316740877</v>
      </c>
      <c r="C163" s="149">
        <v>323.89999999999998</v>
      </c>
      <c r="D163" s="149"/>
      <c r="E163" s="150">
        <v>5.6</v>
      </c>
      <c r="F163" s="149"/>
      <c r="G163" s="149"/>
      <c r="H163" s="151">
        <v>43.958634674390254</v>
      </c>
      <c r="I163" s="152">
        <v>44.798608585365862</v>
      </c>
      <c r="J163" s="152">
        <v>5599.8260731707333</v>
      </c>
      <c r="K163" s="152">
        <v>1.0175618604977339</v>
      </c>
      <c r="L163" s="153">
        <v>70940171.646009967</v>
      </c>
      <c r="M163" s="154">
        <v>438037.49086761329</v>
      </c>
      <c r="N163" s="154">
        <v>567421.92266666575</v>
      </c>
      <c r="O163" s="155">
        <v>112.55345952035418</v>
      </c>
      <c r="P163" s="154">
        <v>70940171.646009967</v>
      </c>
      <c r="Q163" s="154">
        <v>438037.49086761329</v>
      </c>
      <c r="R163" s="154">
        <v>567421.92266666575</v>
      </c>
      <c r="S163" s="152">
        <v>112.55345952035418</v>
      </c>
      <c r="T163" s="153">
        <v>141880343.29201993</v>
      </c>
      <c r="U163" s="156"/>
      <c r="V163" s="157">
        <v>2</v>
      </c>
      <c r="W163" s="158">
        <v>2</v>
      </c>
      <c r="X163" s="158">
        <v>3</v>
      </c>
      <c r="Y163" s="158">
        <v>4</v>
      </c>
      <c r="Z163" s="158">
        <v>4</v>
      </c>
      <c r="AA163" s="159">
        <v>3</v>
      </c>
      <c r="AB163" s="158">
        <v>4</v>
      </c>
      <c r="AC163" s="158">
        <v>4</v>
      </c>
      <c r="AD163" s="158">
        <v>4</v>
      </c>
      <c r="AE163" s="160">
        <v>4</v>
      </c>
      <c r="AF163" s="170">
        <v>3</v>
      </c>
      <c r="AG163" s="158">
        <v>4</v>
      </c>
      <c r="AH163" s="158">
        <v>4</v>
      </c>
      <c r="AI163" s="158">
        <v>4</v>
      </c>
      <c r="AJ163" s="158">
        <v>4</v>
      </c>
      <c r="AK163" s="73">
        <f t="shared" si="13"/>
        <v>181.71311880077198</v>
      </c>
      <c r="AL163" s="162"/>
      <c r="AM163" s="163"/>
      <c r="AN163" s="164"/>
      <c r="AO163" s="170" t="s">
        <v>49</v>
      </c>
      <c r="AP163" s="70">
        <f t="shared" si="14"/>
        <v>0.49</v>
      </c>
      <c r="AQ163" s="72">
        <f>IF(head!F$82="S235",235,IF(head!F$82="S275",275,IF(head!F$82="S355",355,IF(head!F$82="S420",420,460))))^0.5*head!$G$70*1000/(S163*3.1416*210000^0.5)</f>
        <v>1.1627726086716603</v>
      </c>
      <c r="AR163" s="72">
        <f t="shared" si="15"/>
        <v>1.4118993588631059</v>
      </c>
      <c r="AS163" s="72">
        <f t="shared" si="16"/>
        <v>0.45191895194275639</v>
      </c>
      <c r="AT163" s="52">
        <f>IF(head!F$82="S235",235,IF(head!F$82="S275",275,IF(head!F$82="S355",355,IF(head!F$82="S420",420,460))))*AS163*J163/1000</f>
        <v>898.38697316740877</v>
      </c>
      <c r="AU163" s="192" t="s">
        <v>47</v>
      </c>
      <c r="AV163" s="75" t="s">
        <v>47</v>
      </c>
      <c r="AW163" s="75" t="s">
        <v>47</v>
      </c>
      <c r="AX163" s="76" t="s">
        <v>47</v>
      </c>
      <c r="AY163" s="67" t="s">
        <v>47</v>
      </c>
      <c r="AZ163" s="193">
        <v>0</v>
      </c>
      <c r="BA163" s="169" t="str">
        <f t="shared" si="17"/>
        <v>CF CHS 323,9 x 6,3</v>
      </c>
      <c r="BB163" s="145"/>
    </row>
    <row r="164" spans="1:54" s="146" customFormat="1" ht="13.5" customHeight="1">
      <c r="A164" s="147" t="s">
        <v>448</v>
      </c>
      <c r="B164" s="62">
        <f t="shared" si="12"/>
        <v>1005.6737077120566</v>
      </c>
      <c r="C164" s="149">
        <v>323.89999999999998</v>
      </c>
      <c r="D164" s="149"/>
      <c r="E164" s="150" t="s">
        <v>824</v>
      </c>
      <c r="F164" s="149"/>
      <c r="G164" s="149"/>
      <c r="H164" s="151">
        <v>49.344706783410857</v>
      </c>
      <c r="I164" s="152">
        <v>50.287599269718072</v>
      </c>
      <c r="J164" s="152">
        <v>6285.9499087147597</v>
      </c>
      <c r="K164" s="152">
        <v>1.0175618604977339</v>
      </c>
      <c r="L164" s="153">
        <v>79288968.50199458</v>
      </c>
      <c r="M164" s="154">
        <v>489589.18494593754</v>
      </c>
      <c r="N164" s="154">
        <v>635562.83700000064</v>
      </c>
      <c r="O164" s="155">
        <v>112.31064620061626</v>
      </c>
      <c r="P164" s="154">
        <v>79288968.50199458</v>
      </c>
      <c r="Q164" s="154">
        <v>489589.18494593754</v>
      </c>
      <c r="R164" s="154">
        <v>635562.83700000064</v>
      </c>
      <c r="S164" s="152">
        <v>112.31064620061626</v>
      </c>
      <c r="T164" s="153">
        <v>158577937.00398916</v>
      </c>
      <c r="U164" s="156"/>
      <c r="V164" s="157">
        <v>2</v>
      </c>
      <c r="W164" s="158">
        <v>2</v>
      </c>
      <c r="X164" s="158">
        <v>3</v>
      </c>
      <c r="Y164" s="158">
        <v>4</v>
      </c>
      <c r="Z164" s="158">
        <v>4</v>
      </c>
      <c r="AA164" s="159">
        <v>3</v>
      </c>
      <c r="AB164" s="158">
        <v>3</v>
      </c>
      <c r="AC164" s="158">
        <v>4</v>
      </c>
      <c r="AD164" s="158">
        <v>4</v>
      </c>
      <c r="AE164" s="160">
        <v>4</v>
      </c>
      <c r="AF164" s="170">
        <v>3</v>
      </c>
      <c r="AG164" s="158">
        <v>3</v>
      </c>
      <c r="AH164" s="158">
        <v>4</v>
      </c>
      <c r="AI164" s="158">
        <v>4</v>
      </c>
      <c r="AJ164" s="158">
        <v>4</v>
      </c>
      <c r="AK164" s="73">
        <f t="shared" si="13"/>
        <v>161.87877333973012</v>
      </c>
      <c r="AL164" s="162"/>
      <c r="AM164" s="163"/>
      <c r="AN164" s="164"/>
      <c r="AO164" s="170" t="s">
        <v>49</v>
      </c>
      <c r="AP164" s="70">
        <f t="shared" si="14"/>
        <v>0.49</v>
      </c>
      <c r="AQ164" s="72">
        <f>IF(head!F$82="S235",235,IF(head!F$82="S275",275,IF(head!F$82="S355",355,IF(head!F$82="S420",420,460))))^0.5*head!$G$70*1000/(S164*3.1416*210000^0.5)</f>
        <v>1.1652864992667475</v>
      </c>
      <c r="AR164" s="72">
        <f t="shared" si="15"/>
        <v>1.415441505007029</v>
      </c>
      <c r="AS164" s="72">
        <f t="shared" si="16"/>
        <v>0.4506691470398867</v>
      </c>
      <c r="AT164" s="52">
        <f>IF(head!F$82="S235",235,IF(head!F$82="S275",275,IF(head!F$82="S355",355,IF(head!F$82="S420",420,460))))*AS164*J164/1000</f>
        <v>1005.6737077120566</v>
      </c>
      <c r="AU164" s="192" t="s">
        <v>47</v>
      </c>
      <c r="AV164" s="75" t="s">
        <v>47</v>
      </c>
      <c r="AW164" s="75" t="s">
        <v>47</v>
      </c>
      <c r="AX164" s="76" t="s">
        <v>47</v>
      </c>
      <c r="AY164" s="67" t="s">
        <v>47</v>
      </c>
      <c r="AZ164" s="193">
        <v>0</v>
      </c>
      <c r="BA164" s="169" t="str">
        <f t="shared" si="17"/>
        <v>CF CHS 323,9 x 7,1</v>
      </c>
      <c r="BB164" s="145"/>
    </row>
    <row r="165" spans="1:54" s="146" customFormat="1" ht="13.5" customHeight="1">
      <c r="A165" s="147" t="s">
        <v>449</v>
      </c>
      <c r="B165" s="62">
        <f t="shared" si="12"/>
        <v>1126.9435390004887</v>
      </c>
      <c r="C165" s="149">
        <v>323.89999999999998</v>
      </c>
      <c r="D165" s="149"/>
      <c r="E165" s="150" t="s">
        <v>825</v>
      </c>
      <c r="F165" s="149"/>
      <c r="G165" s="149"/>
      <c r="H165" s="151">
        <v>55.470623962351603</v>
      </c>
      <c r="I165" s="152">
        <v>56.530572190931572</v>
      </c>
      <c r="J165" s="152">
        <v>7066.3215238664461</v>
      </c>
      <c r="K165" s="152">
        <v>1.0175618604977339</v>
      </c>
      <c r="L165" s="153">
        <v>88693508.745433539</v>
      </c>
      <c r="M165" s="154">
        <v>547659.82553524873</v>
      </c>
      <c r="N165" s="154">
        <v>712691.2076666659</v>
      </c>
      <c r="O165" s="155">
        <v>112.03383975388866</v>
      </c>
      <c r="P165" s="154">
        <v>88693508.745433539</v>
      </c>
      <c r="Q165" s="154">
        <v>547659.82553524873</v>
      </c>
      <c r="R165" s="154">
        <v>712691.2076666659</v>
      </c>
      <c r="S165" s="152">
        <v>112.03383975388866</v>
      </c>
      <c r="T165" s="153">
        <v>177387017.49086708</v>
      </c>
      <c r="U165" s="156"/>
      <c r="V165" s="157">
        <v>1</v>
      </c>
      <c r="W165" s="158">
        <v>2</v>
      </c>
      <c r="X165" s="158">
        <v>2</v>
      </c>
      <c r="Y165" s="158">
        <v>3</v>
      </c>
      <c r="Z165" s="158">
        <v>3</v>
      </c>
      <c r="AA165" s="159">
        <v>2</v>
      </c>
      <c r="AB165" s="158">
        <v>3</v>
      </c>
      <c r="AC165" s="158">
        <v>4</v>
      </c>
      <c r="AD165" s="158">
        <v>4</v>
      </c>
      <c r="AE165" s="160">
        <v>4</v>
      </c>
      <c r="AF165" s="170">
        <v>2</v>
      </c>
      <c r="AG165" s="158">
        <v>3</v>
      </c>
      <c r="AH165" s="158">
        <v>4</v>
      </c>
      <c r="AI165" s="158">
        <v>4</v>
      </c>
      <c r="AJ165" s="158">
        <v>4</v>
      </c>
      <c r="AK165" s="73">
        <f t="shared" si="13"/>
        <v>144.00163607910093</v>
      </c>
      <c r="AL165" s="162"/>
      <c r="AM165" s="163"/>
      <c r="AN165" s="164"/>
      <c r="AO165" s="170" t="s">
        <v>49</v>
      </c>
      <c r="AP165" s="70">
        <f t="shared" si="14"/>
        <v>0.49</v>
      </c>
      <c r="AQ165" s="72">
        <f>IF(head!F$82="S235",235,IF(head!F$82="S275",275,IF(head!F$82="S355",355,IF(head!F$82="S420",420,460))))^0.5*head!$G$70*1000/(S165*3.1416*210000^0.5)</f>
        <v>1.1681656187898333</v>
      </c>
      <c r="AR165" s="72">
        <f t="shared" si="15"/>
        <v>1.4195060330648261</v>
      </c>
      <c r="AS165" s="72">
        <f t="shared" si="16"/>
        <v>0.44924206060155719</v>
      </c>
      <c r="AT165" s="52">
        <f>IF(head!F$82="S235",235,IF(head!F$82="S275",275,IF(head!F$82="S355",355,IF(head!F$82="S420",420,460))))*AS165*J165/1000</f>
        <v>1126.9435390004887</v>
      </c>
      <c r="AU165" s="192" t="s">
        <v>47</v>
      </c>
      <c r="AV165" s="75" t="s">
        <v>47</v>
      </c>
      <c r="AW165" s="75" t="s">
        <v>47</v>
      </c>
      <c r="AX165" s="76" t="s">
        <v>47</v>
      </c>
      <c r="AY165" s="67" t="s">
        <v>47</v>
      </c>
      <c r="AZ165" s="193">
        <v>0</v>
      </c>
      <c r="BA165" s="169" t="str">
        <f t="shared" si="17"/>
        <v>CF CHS 323,9 x 8</v>
      </c>
      <c r="BB165" s="145"/>
    </row>
    <row r="166" spans="1:54" s="146" customFormat="1" ht="13.5" customHeight="1">
      <c r="A166" s="147" t="s">
        <v>450</v>
      </c>
      <c r="B166" s="62">
        <f t="shared" si="12"/>
        <v>1261.6679071714327</v>
      </c>
      <c r="C166" s="149">
        <v>323.89999999999998</v>
      </c>
      <c r="D166" s="149"/>
      <c r="E166" s="150" t="s">
        <v>826</v>
      </c>
      <c r="F166" s="149"/>
      <c r="G166" s="149"/>
      <c r="H166" s="151">
        <v>62.324548690094197</v>
      </c>
      <c r="I166" s="152">
        <v>63.515463633217017</v>
      </c>
      <c r="J166" s="152">
        <v>7939.4329541521274</v>
      </c>
      <c r="K166" s="152">
        <v>1.0175618604977339</v>
      </c>
      <c r="L166" s="153">
        <v>99100806.001313493</v>
      </c>
      <c r="M166" s="154">
        <v>611922.23526590609</v>
      </c>
      <c r="N166" s="154">
        <v>798513.14666666649</v>
      </c>
      <c r="O166" s="155">
        <v>111.72332455669229</v>
      </c>
      <c r="P166" s="154">
        <v>99100806.001313493</v>
      </c>
      <c r="Q166" s="154">
        <v>611922.23526590609</v>
      </c>
      <c r="R166" s="154">
        <v>798513.14666666649</v>
      </c>
      <c r="S166" s="152">
        <v>111.72332455669229</v>
      </c>
      <c r="T166" s="153">
        <v>198201612.00262699</v>
      </c>
      <c r="U166" s="156"/>
      <c r="V166" s="157">
        <v>1</v>
      </c>
      <c r="W166" s="158">
        <v>1</v>
      </c>
      <c r="X166" s="158">
        <v>2</v>
      </c>
      <c r="Y166" s="158">
        <v>3</v>
      </c>
      <c r="Z166" s="158">
        <v>3</v>
      </c>
      <c r="AA166" s="159">
        <v>2</v>
      </c>
      <c r="AB166" s="158">
        <v>2</v>
      </c>
      <c r="AC166" s="158">
        <v>3</v>
      </c>
      <c r="AD166" s="158">
        <v>4</v>
      </c>
      <c r="AE166" s="160">
        <v>4</v>
      </c>
      <c r="AF166" s="170">
        <v>2</v>
      </c>
      <c r="AG166" s="158">
        <v>2</v>
      </c>
      <c r="AH166" s="158">
        <v>3</v>
      </c>
      <c r="AI166" s="158">
        <v>4</v>
      </c>
      <c r="AJ166" s="158">
        <v>4</v>
      </c>
      <c r="AK166" s="73">
        <f t="shared" si="13"/>
        <v>128.16555872111422</v>
      </c>
      <c r="AL166" s="162"/>
      <c r="AM166" s="163"/>
      <c r="AN166" s="164"/>
      <c r="AO166" s="170" t="s">
        <v>49</v>
      </c>
      <c r="AP166" s="70">
        <f t="shared" si="14"/>
        <v>0.49</v>
      </c>
      <c r="AQ166" s="72">
        <f>IF(head!F$82="S235",235,IF(head!F$82="S275",275,IF(head!F$82="S355",355,IF(head!F$82="S420",420,460))))^0.5*head!$G$70*1000/(S166*3.1416*210000^0.5)</f>
        <v>1.1714123282743194</v>
      </c>
      <c r="AR166" s="72">
        <f t="shared" si="15"/>
        <v>1.4240994418437392</v>
      </c>
      <c r="AS166" s="72">
        <f t="shared" si="16"/>
        <v>0.44763827911029969</v>
      </c>
      <c r="AT166" s="52">
        <f>IF(head!F$82="S235",235,IF(head!F$82="S275",275,IF(head!F$82="S355",355,IF(head!F$82="S420",420,460))))*AS166*J166/1000</f>
        <v>1261.6679071714327</v>
      </c>
      <c r="AU166" s="192" t="s">
        <v>47</v>
      </c>
      <c r="AV166" s="75" t="s">
        <v>47</v>
      </c>
      <c r="AW166" s="75" t="s">
        <v>47</v>
      </c>
      <c r="AX166" s="76" t="s">
        <v>47</v>
      </c>
      <c r="AY166" s="67" t="s">
        <v>47</v>
      </c>
      <c r="AZ166" s="193">
        <v>0</v>
      </c>
      <c r="BA166" s="169" t="str">
        <f t="shared" si="17"/>
        <v>CF CHS 323,9 x 10</v>
      </c>
      <c r="BB166" s="145"/>
    </row>
    <row r="167" spans="1:54" s="146" customFormat="1" ht="13.5" customHeight="1">
      <c r="A167" s="147" t="s">
        <v>451</v>
      </c>
      <c r="B167" s="62">
        <f t="shared" si="12"/>
        <v>1554.6475200724665</v>
      </c>
      <c r="C167" s="149">
        <v>323.89999999999998</v>
      </c>
      <c r="D167" s="149"/>
      <c r="E167" s="150">
        <v>10</v>
      </c>
      <c r="F167" s="149"/>
      <c r="G167" s="149"/>
      <c r="H167" s="151">
        <v>77.412455816004126</v>
      </c>
      <c r="I167" s="152">
        <v>78.891674716946881</v>
      </c>
      <c r="J167" s="152">
        <v>9861.4593396183609</v>
      </c>
      <c r="K167" s="152">
        <v>1.0175618604977339</v>
      </c>
      <c r="L167" s="153">
        <v>121583423.74387991</v>
      </c>
      <c r="M167" s="154">
        <v>750746.67331818421</v>
      </c>
      <c r="N167" s="154">
        <v>985665.433333333</v>
      </c>
      <c r="O167" s="155">
        <v>111.036711271543</v>
      </c>
      <c r="P167" s="154">
        <v>121583423.74387991</v>
      </c>
      <c r="Q167" s="154">
        <v>750746.67331818421</v>
      </c>
      <c r="R167" s="154">
        <v>985665.433333333</v>
      </c>
      <c r="S167" s="152">
        <v>111.036711271543</v>
      </c>
      <c r="T167" s="153">
        <v>243166847.48775983</v>
      </c>
      <c r="U167" s="156"/>
      <c r="V167" s="157">
        <v>1</v>
      </c>
      <c r="W167" s="158">
        <v>1</v>
      </c>
      <c r="X167" s="158">
        <v>1</v>
      </c>
      <c r="Y167" s="158">
        <v>2</v>
      </c>
      <c r="Z167" s="158">
        <v>2</v>
      </c>
      <c r="AA167" s="159">
        <v>1</v>
      </c>
      <c r="AB167" s="158">
        <v>2</v>
      </c>
      <c r="AC167" s="158">
        <v>2</v>
      </c>
      <c r="AD167" s="158">
        <v>3</v>
      </c>
      <c r="AE167" s="160">
        <v>3</v>
      </c>
      <c r="AF167" s="170">
        <v>1</v>
      </c>
      <c r="AG167" s="158">
        <v>2</v>
      </c>
      <c r="AH167" s="158">
        <v>2</v>
      </c>
      <c r="AI167" s="158">
        <v>3</v>
      </c>
      <c r="AJ167" s="158">
        <v>3</v>
      </c>
      <c r="AK167" s="73">
        <f t="shared" si="13"/>
        <v>103.18572793883402</v>
      </c>
      <c r="AL167" s="162"/>
      <c r="AM167" s="163"/>
      <c r="AN167" s="164"/>
      <c r="AO167" s="170" t="s">
        <v>49</v>
      </c>
      <c r="AP167" s="70">
        <f t="shared" si="14"/>
        <v>0.49</v>
      </c>
      <c r="AQ167" s="72">
        <f>IF(head!F$82="S235",235,IF(head!F$82="S275",275,IF(head!F$82="S355",355,IF(head!F$82="S420",420,460))))^0.5*head!$G$70*1000/(S167*3.1416*210000^0.5)</f>
        <v>1.1786559439917721</v>
      </c>
      <c r="AR167" s="72">
        <f t="shared" si="15"/>
        <v>1.434385623431552</v>
      </c>
      <c r="AS167" s="72">
        <f t="shared" si="16"/>
        <v>0.44408120929351258</v>
      </c>
      <c r="AT167" s="52">
        <f>IF(head!F$82="S235",235,IF(head!F$82="S275",275,IF(head!F$82="S355",355,IF(head!F$82="S420",420,460))))*AS167*J167/1000</f>
        <v>1554.6475200724665</v>
      </c>
      <c r="AU167" s="192" t="s">
        <v>47</v>
      </c>
      <c r="AV167" s="75" t="s">
        <v>47</v>
      </c>
      <c r="AW167" s="75" t="s">
        <v>47</v>
      </c>
      <c r="AX167" s="76" t="s">
        <v>47</v>
      </c>
      <c r="AY167" s="67" t="s">
        <v>47</v>
      </c>
      <c r="AZ167" s="193">
        <v>0</v>
      </c>
      <c r="BA167" s="169" t="str">
        <f t="shared" si="17"/>
        <v>CF CHS 323,9 x 12,5</v>
      </c>
      <c r="BB167" s="145"/>
    </row>
    <row r="168" spans="1:54" s="146" customFormat="1" ht="13.5" customHeight="1">
      <c r="A168" s="147" t="s">
        <v>452</v>
      </c>
      <c r="B168" s="62">
        <f t="shared" si="12"/>
        <v>1908.5938956142409</v>
      </c>
      <c r="C168" s="149">
        <v>323.89999999999998</v>
      </c>
      <c r="D168" s="149"/>
      <c r="E168" s="150" t="s">
        <v>829</v>
      </c>
      <c r="F168" s="149"/>
      <c r="G168" s="149"/>
      <c r="H168" s="151">
        <v>95.994897822171396</v>
      </c>
      <c r="I168" s="152">
        <v>97.829195232786134</v>
      </c>
      <c r="J168" s="152">
        <v>12228.649404098269</v>
      </c>
      <c r="K168" s="152">
        <v>1.0175618604977339</v>
      </c>
      <c r="L168" s="153">
        <v>148465296.25485295</v>
      </c>
      <c r="M168" s="154">
        <v>916735.38903891901</v>
      </c>
      <c r="N168" s="154">
        <v>1212775.541666666</v>
      </c>
      <c r="O168" s="155">
        <v>110.18519070183616</v>
      </c>
      <c r="P168" s="154">
        <v>148465296.25485295</v>
      </c>
      <c r="Q168" s="154">
        <v>916735.38903891901</v>
      </c>
      <c r="R168" s="154">
        <v>1212775.541666666</v>
      </c>
      <c r="S168" s="152">
        <v>110.18519070183616</v>
      </c>
      <c r="T168" s="153">
        <v>296930592.5097059</v>
      </c>
      <c r="U168" s="156"/>
      <c r="V168" s="157">
        <v>1</v>
      </c>
      <c r="W168" s="158">
        <v>1</v>
      </c>
      <c r="X168" s="158">
        <v>1</v>
      </c>
      <c r="Y168" s="158">
        <v>1</v>
      </c>
      <c r="Z168" s="158">
        <v>2</v>
      </c>
      <c r="AA168" s="159">
        <v>1</v>
      </c>
      <c r="AB168" s="158">
        <v>1</v>
      </c>
      <c r="AC168" s="158">
        <v>2</v>
      </c>
      <c r="AD168" s="158">
        <v>2</v>
      </c>
      <c r="AE168" s="160">
        <v>3</v>
      </c>
      <c r="AF168" s="170">
        <v>1</v>
      </c>
      <c r="AG168" s="158">
        <v>1</v>
      </c>
      <c r="AH168" s="158">
        <v>2</v>
      </c>
      <c r="AI168" s="158">
        <v>2</v>
      </c>
      <c r="AJ168" s="158">
        <v>3</v>
      </c>
      <c r="AK168" s="73">
        <f t="shared" si="13"/>
        <v>83.211303789338473</v>
      </c>
      <c r="AL168" s="162"/>
      <c r="AM168" s="163"/>
      <c r="AN168" s="164"/>
      <c r="AO168" s="170" t="s">
        <v>49</v>
      </c>
      <c r="AP168" s="70">
        <f t="shared" si="14"/>
        <v>0.49</v>
      </c>
      <c r="AQ168" s="72">
        <f>IF(head!F$82="S235",235,IF(head!F$82="S275",275,IF(head!F$82="S355",355,IF(head!F$82="S420",420,460))))^0.5*head!$G$70*1000/(S168*3.1416*210000^0.5)</f>
        <v>1.187764697849921</v>
      </c>
      <c r="AR168" s="72">
        <f t="shared" si="15"/>
        <v>1.4473948397024876</v>
      </c>
      <c r="AS168" s="72">
        <f t="shared" si="16"/>
        <v>0.4396496011173866</v>
      </c>
      <c r="AT168" s="52">
        <f>IF(head!F$82="S235",235,IF(head!F$82="S275",275,IF(head!F$82="S355",355,IF(head!F$82="S420",420,460))))*AS168*J168/1000</f>
        <v>1908.5938956142409</v>
      </c>
      <c r="AU168" s="192" t="s">
        <v>47</v>
      </c>
      <c r="AV168" s="75" t="s">
        <v>47</v>
      </c>
      <c r="AW168" s="75" t="s">
        <v>47</v>
      </c>
      <c r="AX168" s="76" t="s">
        <v>47</v>
      </c>
      <c r="AY168" s="67" t="s">
        <v>47</v>
      </c>
      <c r="AZ168" s="193">
        <v>0</v>
      </c>
      <c r="BA168" s="169" t="str">
        <f t="shared" si="17"/>
        <v>CF CHS 323,9 x 14,2</v>
      </c>
      <c r="BB168" s="145"/>
    </row>
    <row r="169" spans="1:54" s="146" customFormat="1" ht="13.5" customHeight="1">
      <c r="A169" s="147" t="s">
        <v>453</v>
      </c>
      <c r="B169" s="62">
        <f t="shared" si="12"/>
        <v>2141.5968406213947</v>
      </c>
      <c r="C169" s="149">
        <v>323.89999999999998</v>
      </c>
      <c r="D169" s="149"/>
      <c r="E169" s="150" t="s">
        <v>830</v>
      </c>
      <c r="F169" s="149"/>
      <c r="G169" s="149"/>
      <c r="H169" s="151">
        <v>108.45487525972406</v>
      </c>
      <c r="I169" s="152">
        <v>110.52726141118376</v>
      </c>
      <c r="J169" s="152">
        <v>13815.90767639797</v>
      </c>
      <c r="K169" s="152">
        <v>1.0175618604977339</v>
      </c>
      <c r="L169" s="153">
        <v>165990756.49119934</v>
      </c>
      <c r="M169" s="154">
        <v>1024950.6421191687</v>
      </c>
      <c r="N169" s="154">
        <v>1362934.507333332</v>
      </c>
      <c r="O169" s="155">
        <v>109.61052070855243</v>
      </c>
      <c r="P169" s="154">
        <v>165990756.49119934</v>
      </c>
      <c r="Q169" s="154">
        <v>1024950.6421191687</v>
      </c>
      <c r="R169" s="154">
        <v>1362934.507333332</v>
      </c>
      <c r="S169" s="152">
        <v>109.61052070855243</v>
      </c>
      <c r="T169" s="153">
        <v>331981512.98239869</v>
      </c>
      <c r="U169" s="156"/>
      <c r="V169" s="157">
        <v>1</v>
      </c>
      <c r="W169" s="158">
        <v>1</v>
      </c>
      <c r="X169" s="158">
        <v>1</v>
      </c>
      <c r="Y169" s="158">
        <v>1</v>
      </c>
      <c r="Z169" s="158">
        <v>1</v>
      </c>
      <c r="AA169" s="159">
        <v>1</v>
      </c>
      <c r="AB169" s="158">
        <v>1</v>
      </c>
      <c r="AC169" s="158">
        <v>1</v>
      </c>
      <c r="AD169" s="158">
        <v>2</v>
      </c>
      <c r="AE169" s="160">
        <v>2</v>
      </c>
      <c r="AF169" s="170">
        <v>1</v>
      </c>
      <c r="AG169" s="158">
        <v>1</v>
      </c>
      <c r="AH169" s="158">
        <v>1</v>
      </c>
      <c r="AI169" s="158">
        <v>2</v>
      </c>
      <c r="AJ169" s="158">
        <v>2</v>
      </c>
      <c r="AK169" s="73">
        <f t="shared" si="13"/>
        <v>73.651466435032575</v>
      </c>
      <c r="AL169" s="162"/>
      <c r="AM169" s="163"/>
      <c r="AN169" s="164"/>
      <c r="AO169" s="170" t="s">
        <v>49</v>
      </c>
      <c r="AP169" s="70">
        <f t="shared" si="14"/>
        <v>0.49</v>
      </c>
      <c r="AQ169" s="72">
        <f>IF(head!F$82="S235",235,IF(head!F$82="S275",275,IF(head!F$82="S355",355,IF(head!F$82="S420",420,460))))^0.5*head!$G$70*1000/(S169*3.1416*210000^0.5)</f>
        <v>1.1939919534684849</v>
      </c>
      <c r="AR169" s="72">
        <f t="shared" si="15"/>
        <v>1.456336421073523</v>
      </c>
      <c r="AS169" s="72">
        <f t="shared" si="16"/>
        <v>0.43664645841443539</v>
      </c>
      <c r="AT169" s="52">
        <f>IF(head!F$82="S235",235,IF(head!F$82="S275",275,IF(head!F$82="S355",355,IF(head!F$82="S420",420,460))))*AS169*J169/1000</f>
        <v>2141.5968406213947</v>
      </c>
      <c r="AU169" s="192" t="s">
        <v>47</v>
      </c>
      <c r="AV169" s="75" t="s">
        <v>47</v>
      </c>
      <c r="AW169" s="75" t="s">
        <v>47</v>
      </c>
      <c r="AX169" s="76" t="s">
        <v>47</v>
      </c>
      <c r="AY169" s="67" t="s">
        <v>47</v>
      </c>
      <c r="AZ169" s="193">
        <v>0</v>
      </c>
      <c r="BA169" s="169" t="str">
        <f t="shared" si="17"/>
        <v>CF CHS 323,9 x 16</v>
      </c>
      <c r="BB169" s="145"/>
    </row>
    <row r="170" spans="1:54" s="146" customFormat="1" ht="13.5" customHeight="1">
      <c r="A170" s="147" t="s">
        <v>454</v>
      </c>
      <c r="B170" s="62">
        <f t="shared" si="12"/>
        <v>2381.6262665528807</v>
      </c>
      <c r="C170" s="149">
        <v>323.89999999999998</v>
      </c>
      <c r="D170" s="149"/>
      <c r="E170" s="150" t="s">
        <v>831</v>
      </c>
      <c r="F170" s="149"/>
      <c r="G170" s="149"/>
      <c r="H170" s="151">
        <v>121.49242508186137</v>
      </c>
      <c r="I170" s="152">
        <v>123.81393638915809</v>
      </c>
      <c r="J170" s="152">
        <v>15476.742048644761</v>
      </c>
      <c r="K170" s="152">
        <v>1.0175618604977339</v>
      </c>
      <c r="L170" s="153">
        <v>183899311.39053923</v>
      </c>
      <c r="M170" s="154">
        <v>1135531.4071660342</v>
      </c>
      <c r="N170" s="154">
        <v>1518203.8933333333</v>
      </c>
      <c r="O170" s="155">
        <v>109.0059688732686</v>
      </c>
      <c r="P170" s="154">
        <v>183899311.39053923</v>
      </c>
      <c r="Q170" s="154">
        <v>1135531.4071660342</v>
      </c>
      <c r="R170" s="154">
        <v>1518203.8933333333</v>
      </c>
      <c r="S170" s="152">
        <v>109.0059688732686</v>
      </c>
      <c r="T170" s="153">
        <v>367798622.78107846</v>
      </c>
      <c r="U170" s="156"/>
      <c r="V170" s="157">
        <v>1</v>
      </c>
      <c r="W170" s="158">
        <v>1</v>
      </c>
      <c r="X170" s="158">
        <v>1</v>
      </c>
      <c r="Y170" s="158">
        <v>1</v>
      </c>
      <c r="Z170" s="158">
        <v>1</v>
      </c>
      <c r="AA170" s="159">
        <v>1</v>
      </c>
      <c r="AB170" s="158">
        <v>1</v>
      </c>
      <c r="AC170" s="158">
        <v>1</v>
      </c>
      <c r="AD170" s="158">
        <v>2</v>
      </c>
      <c r="AE170" s="160">
        <v>2</v>
      </c>
      <c r="AF170" s="170">
        <v>1</v>
      </c>
      <c r="AG170" s="158">
        <v>1</v>
      </c>
      <c r="AH170" s="158">
        <v>1</v>
      </c>
      <c r="AI170" s="158">
        <v>2</v>
      </c>
      <c r="AJ170" s="158">
        <v>2</v>
      </c>
      <c r="AK170" s="73">
        <f t="shared" si="13"/>
        <v>65.747807729782366</v>
      </c>
      <c r="AL170" s="162"/>
      <c r="AM170" s="163"/>
      <c r="AN170" s="164"/>
      <c r="AO170" s="170" t="s">
        <v>49</v>
      </c>
      <c r="AP170" s="70">
        <f t="shared" si="14"/>
        <v>0.49</v>
      </c>
      <c r="AQ170" s="72">
        <f>IF(head!F$82="S235",235,IF(head!F$82="S275",275,IF(head!F$82="S355",355,IF(head!F$82="S420",420,460))))^0.5*head!$G$70*1000/(S170*3.1416*210000^0.5)</f>
        <v>1.2006138846732128</v>
      </c>
      <c r="AR170" s="72">
        <f t="shared" si="15"/>
        <v>1.4658872517799886</v>
      </c>
      <c r="AS170" s="72">
        <f t="shared" si="16"/>
        <v>0.43347665571795629</v>
      </c>
      <c r="AT170" s="52">
        <f>IF(head!F$82="S235",235,IF(head!F$82="S275",275,IF(head!F$82="S355",355,IF(head!F$82="S420",420,460))))*AS170*J170/1000</f>
        <v>2381.6262665528807</v>
      </c>
      <c r="AU170" s="192" t="s">
        <v>47</v>
      </c>
      <c r="AV170" s="75" t="s">
        <v>47</v>
      </c>
      <c r="AW170" s="75" t="s">
        <v>47</v>
      </c>
      <c r="AX170" s="76" t="s">
        <v>47</v>
      </c>
      <c r="AY170" s="67" t="s">
        <v>47</v>
      </c>
      <c r="AZ170" s="193">
        <v>0</v>
      </c>
      <c r="BA170" s="169" t="str">
        <f t="shared" si="17"/>
        <v>CF CHS 323,9 x 17,5</v>
      </c>
      <c r="BB170" s="145"/>
    </row>
    <row r="171" spans="1:54" s="146" customFormat="1" ht="13.5" customHeight="1">
      <c r="A171" s="147" t="s">
        <v>455</v>
      </c>
      <c r="B171" s="62">
        <f t="shared" si="12"/>
        <v>2576.4674273167179</v>
      </c>
      <c r="C171" s="149">
        <v>323.89999999999998</v>
      </c>
      <c r="D171" s="149"/>
      <c r="E171" s="150" t="s">
        <v>832</v>
      </c>
      <c r="F171" s="149"/>
      <c r="G171" s="149"/>
      <c r="H171" s="151">
        <v>132.23497549710549</v>
      </c>
      <c r="I171" s="152">
        <v>134.76175846838777</v>
      </c>
      <c r="J171" s="152">
        <v>16845.219808548471</v>
      </c>
      <c r="K171" s="152">
        <v>1.0175618604977339</v>
      </c>
      <c r="L171" s="153">
        <v>198325531.95048931</v>
      </c>
      <c r="M171" s="154">
        <v>1224609.6446464302</v>
      </c>
      <c r="N171" s="154">
        <v>1644703.2583333328</v>
      </c>
      <c r="O171" s="155">
        <v>108.5053051698395</v>
      </c>
      <c r="P171" s="154">
        <v>198325531.95048931</v>
      </c>
      <c r="Q171" s="154">
        <v>1224609.6446464302</v>
      </c>
      <c r="R171" s="154">
        <v>1644703.2583333328</v>
      </c>
      <c r="S171" s="152">
        <v>108.5053051698395</v>
      </c>
      <c r="T171" s="153">
        <v>396651063.90097862</v>
      </c>
      <c r="U171" s="156"/>
      <c r="V171" s="157">
        <v>1</v>
      </c>
      <c r="W171" s="158">
        <v>1</v>
      </c>
      <c r="X171" s="158">
        <v>1</v>
      </c>
      <c r="Y171" s="158">
        <v>1</v>
      </c>
      <c r="Z171" s="158">
        <v>1</v>
      </c>
      <c r="AA171" s="159">
        <v>1</v>
      </c>
      <c r="AB171" s="158">
        <v>1</v>
      </c>
      <c r="AC171" s="158">
        <v>1</v>
      </c>
      <c r="AD171" s="158">
        <v>1</v>
      </c>
      <c r="AE171" s="160">
        <v>2</v>
      </c>
      <c r="AF171" s="170">
        <v>1</v>
      </c>
      <c r="AG171" s="158">
        <v>1</v>
      </c>
      <c r="AH171" s="158">
        <v>1</v>
      </c>
      <c r="AI171" s="158">
        <v>1</v>
      </c>
      <c r="AJ171" s="158">
        <v>2</v>
      </c>
      <c r="AK171" s="73">
        <f t="shared" si="13"/>
        <v>60.406564714658707</v>
      </c>
      <c r="AL171" s="162"/>
      <c r="AM171" s="163"/>
      <c r="AN171" s="164"/>
      <c r="AO171" s="170" t="s">
        <v>49</v>
      </c>
      <c r="AP171" s="70">
        <f t="shared" si="14"/>
        <v>0.49</v>
      </c>
      <c r="AQ171" s="72">
        <f>IF(head!F$82="S235",235,IF(head!F$82="S275",275,IF(head!F$82="S355",355,IF(head!F$82="S420",420,460))))^0.5*head!$G$70*1000/(S171*3.1416*210000^0.5)</f>
        <v>1.2061537409313747</v>
      </c>
      <c r="AR171" s="72">
        <f t="shared" si="15"/>
        <v>1.4739110899095618</v>
      </c>
      <c r="AS171" s="72">
        <f t="shared" si="16"/>
        <v>0.43084357505105225</v>
      </c>
      <c r="AT171" s="52">
        <f>IF(head!F$82="S235",235,IF(head!F$82="S275",275,IF(head!F$82="S355",355,IF(head!F$82="S420",420,460))))*AS171*J171/1000</f>
        <v>2576.4674273167179</v>
      </c>
      <c r="AU171" s="192" t="s">
        <v>47</v>
      </c>
      <c r="AV171" s="75" t="s">
        <v>47</v>
      </c>
      <c r="AW171" s="75" t="s">
        <v>47</v>
      </c>
      <c r="AX171" s="76" t="s">
        <v>47</v>
      </c>
      <c r="AY171" s="67" t="s">
        <v>47</v>
      </c>
      <c r="AZ171" s="193">
        <v>0</v>
      </c>
      <c r="BA171" s="169" t="str">
        <f t="shared" si="17"/>
        <v>CF CHS 323,9 x 20</v>
      </c>
      <c r="BB171" s="145"/>
    </row>
    <row r="172" spans="1:54" s="146" customFormat="1" ht="13.5" customHeight="1">
      <c r="A172" s="147" t="s">
        <v>456</v>
      </c>
      <c r="B172" s="62">
        <f t="shared" si="12"/>
        <v>2890.8857592511217</v>
      </c>
      <c r="C172" s="149">
        <v>323.89999999999998</v>
      </c>
      <c r="D172" s="149"/>
      <c r="E172" s="150" t="s">
        <v>833</v>
      </c>
      <c r="F172" s="149"/>
      <c r="G172" s="149"/>
      <c r="H172" s="151">
        <v>149.89261116587227</v>
      </c>
      <c r="I172" s="152">
        <v>152.75680118815009</v>
      </c>
      <c r="J172" s="152">
        <v>19094.600148518763</v>
      </c>
      <c r="K172" s="152">
        <v>1.0175618604977339</v>
      </c>
      <c r="L172" s="153">
        <v>221390455.83023614</v>
      </c>
      <c r="M172" s="154">
        <v>1367029.6747776237</v>
      </c>
      <c r="N172" s="154">
        <v>1849770.8666666658</v>
      </c>
      <c r="O172" s="155">
        <v>107.67730146135722</v>
      </c>
      <c r="P172" s="154">
        <v>221390455.83023614</v>
      </c>
      <c r="Q172" s="154">
        <v>1367029.6747776237</v>
      </c>
      <c r="R172" s="154">
        <v>1849770.8666666658</v>
      </c>
      <c r="S172" s="152">
        <v>107.67730146135722</v>
      </c>
      <c r="T172" s="153">
        <v>442780911.66047227</v>
      </c>
      <c r="U172" s="156"/>
      <c r="V172" s="157">
        <v>1</v>
      </c>
      <c r="W172" s="158">
        <v>1</v>
      </c>
      <c r="X172" s="158">
        <v>1</v>
      </c>
      <c r="Y172" s="158">
        <v>1</v>
      </c>
      <c r="Z172" s="158">
        <v>1</v>
      </c>
      <c r="AA172" s="159">
        <v>1</v>
      </c>
      <c r="AB172" s="158">
        <v>1</v>
      </c>
      <c r="AC172" s="158">
        <v>1</v>
      </c>
      <c r="AD172" s="158">
        <v>1</v>
      </c>
      <c r="AE172" s="160">
        <v>1</v>
      </c>
      <c r="AF172" s="170">
        <v>1</v>
      </c>
      <c r="AG172" s="158">
        <v>1</v>
      </c>
      <c r="AH172" s="158">
        <v>1</v>
      </c>
      <c r="AI172" s="158">
        <v>1</v>
      </c>
      <c r="AJ172" s="158">
        <v>1</v>
      </c>
      <c r="AK172" s="73">
        <f t="shared" si="13"/>
        <v>53.290556103981572</v>
      </c>
      <c r="AL172" s="162"/>
      <c r="AM172" s="163"/>
      <c r="AN172" s="164"/>
      <c r="AO172" s="170" t="s">
        <v>49</v>
      </c>
      <c r="AP172" s="70">
        <f t="shared" si="14"/>
        <v>0.49</v>
      </c>
      <c r="AQ172" s="72">
        <f>IF(head!F$82="S235",235,IF(head!F$82="S275",275,IF(head!F$82="S355",355,IF(head!F$82="S420",420,460))))^0.5*head!$G$70*1000/(S172*3.1416*210000^0.5)</f>
        <v>1.2154286740596847</v>
      </c>
      <c r="AR172" s="72">
        <f t="shared" si="15"/>
        <v>1.4874134560078645</v>
      </c>
      <c r="AS172" s="72">
        <f t="shared" si="16"/>
        <v>0.42647345865141234</v>
      </c>
      <c r="AT172" s="52">
        <f>IF(head!F$82="S235",235,IF(head!F$82="S275",275,IF(head!F$82="S355",355,IF(head!F$82="S420",420,460))))*AS172*J172/1000</f>
        <v>2890.8857592511217</v>
      </c>
      <c r="AU172" s="192" t="s">
        <v>47</v>
      </c>
      <c r="AV172" s="75" t="s">
        <v>47</v>
      </c>
      <c r="AW172" s="75" t="s">
        <v>47</v>
      </c>
      <c r="AX172" s="76" t="s">
        <v>47</v>
      </c>
      <c r="AY172" s="67" t="s">
        <v>47</v>
      </c>
      <c r="AZ172" s="193">
        <v>0</v>
      </c>
      <c r="BA172" s="169" t="str">
        <f t="shared" si="17"/>
        <v>CF CHS 355,6 x 5,6</v>
      </c>
      <c r="BB172" s="145"/>
    </row>
    <row r="173" spans="1:54" s="146" customFormat="1" ht="13.5" customHeight="1">
      <c r="A173" s="147" t="s">
        <v>457</v>
      </c>
      <c r="B173" s="62">
        <f t="shared" si="12"/>
        <v>1108.9771178850469</v>
      </c>
      <c r="C173" s="149">
        <v>355.6</v>
      </c>
      <c r="D173" s="149"/>
      <c r="E173" s="150" t="s">
        <v>823</v>
      </c>
      <c r="F173" s="149"/>
      <c r="G173" s="149"/>
      <c r="H173" s="151">
        <v>48.336544568132467</v>
      </c>
      <c r="I173" s="152">
        <v>49.260172808287862</v>
      </c>
      <c r="J173" s="152">
        <v>6157.5216010359827</v>
      </c>
      <c r="K173" s="152">
        <v>1.1171503476165305</v>
      </c>
      <c r="L173" s="153">
        <v>94311187.000539601</v>
      </c>
      <c r="M173" s="154">
        <v>530434.1226127086</v>
      </c>
      <c r="N173" s="154">
        <v>686058.53866666683</v>
      </c>
      <c r="O173" s="155">
        <v>123.75952488596589</v>
      </c>
      <c r="P173" s="154">
        <v>94311187.000539601</v>
      </c>
      <c r="Q173" s="154">
        <v>530434.1226127086</v>
      </c>
      <c r="R173" s="154">
        <v>686058.53866666683</v>
      </c>
      <c r="S173" s="152">
        <v>123.75952488596589</v>
      </c>
      <c r="T173" s="153">
        <v>188622374.0010792</v>
      </c>
      <c r="U173" s="156"/>
      <c r="V173" s="157">
        <v>2</v>
      </c>
      <c r="W173" s="158">
        <v>3</v>
      </c>
      <c r="X173" s="158">
        <v>4</v>
      </c>
      <c r="Y173" s="158">
        <v>4</v>
      </c>
      <c r="Z173" s="158">
        <v>4</v>
      </c>
      <c r="AA173" s="159">
        <v>3</v>
      </c>
      <c r="AB173" s="158">
        <v>4</v>
      </c>
      <c r="AC173" s="158">
        <v>4</v>
      </c>
      <c r="AD173" s="158">
        <v>4</v>
      </c>
      <c r="AE173" s="160">
        <v>4</v>
      </c>
      <c r="AF173" s="170">
        <v>3</v>
      </c>
      <c r="AG173" s="158">
        <v>4</v>
      </c>
      <c r="AH173" s="158">
        <v>4</v>
      </c>
      <c r="AI173" s="158">
        <v>4</v>
      </c>
      <c r="AJ173" s="158">
        <v>4</v>
      </c>
      <c r="AK173" s="73">
        <f t="shared" si="13"/>
        <v>181.42857142857181</v>
      </c>
      <c r="AL173" s="162"/>
      <c r="AM173" s="163"/>
      <c r="AN173" s="164"/>
      <c r="AO173" s="170" t="s">
        <v>49</v>
      </c>
      <c r="AP173" s="70">
        <f t="shared" si="14"/>
        <v>0.49</v>
      </c>
      <c r="AQ173" s="72">
        <f>IF(head!F$82="S235",235,IF(head!F$82="S275",275,IF(head!F$82="S355",355,IF(head!F$82="S420",420,460))))^0.5*head!$G$70*1000/(S173*3.1416*210000^0.5)</f>
        <v>1.0574869276695424</v>
      </c>
      <c r="AR173" s="72">
        <f t="shared" si="15"/>
        <v>1.269223598375022</v>
      </c>
      <c r="AS173" s="72">
        <f t="shared" si="16"/>
        <v>0.50732736443578352</v>
      </c>
      <c r="AT173" s="52">
        <f>IF(head!F$82="S235",235,IF(head!F$82="S275",275,IF(head!F$82="S355",355,IF(head!F$82="S420",420,460))))*AS173*J173/1000</f>
        <v>1108.9771178850469</v>
      </c>
      <c r="AU173" s="192" t="s">
        <v>47</v>
      </c>
      <c r="AV173" s="75" t="s">
        <v>47</v>
      </c>
      <c r="AW173" s="75" t="s">
        <v>47</v>
      </c>
      <c r="AX173" s="76" t="s">
        <v>47</v>
      </c>
      <c r="AY173" s="67" t="s">
        <v>47</v>
      </c>
      <c r="AZ173" s="193">
        <v>0</v>
      </c>
      <c r="BA173" s="169" t="str">
        <f t="shared" si="17"/>
        <v>CF CHS 355,6 x 8</v>
      </c>
      <c r="BB173" s="145"/>
    </row>
    <row r="174" spans="1:54" s="146" customFormat="1" ht="13.5" customHeight="1">
      <c r="A174" s="147" t="s">
        <v>458</v>
      </c>
      <c r="B174" s="62">
        <f t="shared" si="12"/>
        <v>1561.1419206332753</v>
      </c>
      <c r="C174" s="149">
        <v>355.6</v>
      </c>
      <c r="D174" s="149"/>
      <c r="E174" s="150" t="s">
        <v>826</v>
      </c>
      <c r="F174" s="149"/>
      <c r="G174" s="149"/>
      <c r="H174" s="151">
        <v>68.578705681154574</v>
      </c>
      <c r="I174" s="152">
        <v>69.889126808819952</v>
      </c>
      <c r="J174" s="152">
        <v>8736.1408511024947</v>
      </c>
      <c r="K174" s="152">
        <v>1.1171503476165305</v>
      </c>
      <c r="L174" s="153">
        <v>132013746.35199709</v>
      </c>
      <c r="M174" s="154">
        <v>742484.5126659004</v>
      </c>
      <c r="N174" s="154">
        <v>966776.7466666674</v>
      </c>
      <c r="O174" s="155">
        <v>122.9277023294587</v>
      </c>
      <c r="P174" s="154">
        <v>132013746.35199709</v>
      </c>
      <c r="Q174" s="154">
        <v>742484.5126659004</v>
      </c>
      <c r="R174" s="154">
        <v>966776.7466666674</v>
      </c>
      <c r="S174" s="152">
        <v>122.9277023294587</v>
      </c>
      <c r="T174" s="153">
        <v>264027492.70399418</v>
      </c>
      <c r="U174" s="156"/>
      <c r="V174" s="157">
        <v>1</v>
      </c>
      <c r="W174" s="158">
        <v>2</v>
      </c>
      <c r="X174" s="158">
        <v>2</v>
      </c>
      <c r="Y174" s="158">
        <v>3</v>
      </c>
      <c r="Z174" s="158">
        <v>3</v>
      </c>
      <c r="AA174" s="159">
        <v>2</v>
      </c>
      <c r="AB174" s="158">
        <v>3</v>
      </c>
      <c r="AC174" s="158">
        <v>4</v>
      </c>
      <c r="AD174" s="158">
        <v>4</v>
      </c>
      <c r="AE174" s="160">
        <v>4</v>
      </c>
      <c r="AF174" s="170">
        <v>2</v>
      </c>
      <c r="AG174" s="158">
        <v>3</v>
      </c>
      <c r="AH174" s="158">
        <v>4</v>
      </c>
      <c r="AI174" s="158">
        <v>4</v>
      </c>
      <c r="AJ174" s="158">
        <v>4</v>
      </c>
      <c r="AK174" s="73">
        <f t="shared" si="13"/>
        <v>127.87686996547761</v>
      </c>
      <c r="AL174" s="162"/>
      <c r="AM174" s="163"/>
      <c r="AN174" s="164"/>
      <c r="AO174" s="170" t="s">
        <v>49</v>
      </c>
      <c r="AP174" s="70">
        <f t="shared" si="14"/>
        <v>0.49</v>
      </c>
      <c r="AQ174" s="72">
        <f>IF(head!F$82="S235",235,IF(head!F$82="S275",275,IF(head!F$82="S355",355,IF(head!F$82="S420",420,460))))^0.5*head!$G$70*1000/(S174*3.1416*210000^0.5)</f>
        <v>1.0646426904714004</v>
      </c>
      <c r="AR174" s="72">
        <f t="shared" si="15"/>
        <v>1.2785694883525842</v>
      </c>
      <c r="AS174" s="72">
        <f t="shared" si="16"/>
        <v>0.50337820211178697</v>
      </c>
      <c r="AT174" s="52">
        <f>IF(head!F$82="S235",235,IF(head!F$82="S275",275,IF(head!F$82="S355",355,IF(head!F$82="S420",420,460))))*AS174*J174/1000</f>
        <v>1561.1419206332753</v>
      </c>
      <c r="AU174" s="192" t="s">
        <v>47</v>
      </c>
      <c r="AV174" s="75" t="s">
        <v>47</v>
      </c>
      <c r="AW174" s="75" t="s">
        <v>47</v>
      </c>
      <c r="AX174" s="76" t="s">
        <v>47</v>
      </c>
      <c r="AY174" s="67" t="s">
        <v>47</v>
      </c>
      <c r="AZ174" s="193">
        <v>0</v>
      </c>
      <c r="BA174" s="169" t="str">
        <f t="shared" si="17"/>
        <v>CF CHS 355,6 x 10</v>
      </c>
      <c r="BB174" s="145"/>
    </row>
    <row r="175" spans="1:54" s="146" customFormat="1" ht="13.5" customHeight="1">
      <c r="A175" s="147" t="s">
        <v>459</v>
      </c>
      <c r="B175" s="62">
        <f t="shared" si="12"/>
        <v>1927.519752198614</v>
      </c>
      <c r="C175" s="149">
        <v>355.6</v>
      </c>
      <c r="D175" s="149"/>
      <c r="E175" s="150">
        <v>10</v>
      </c>
      <c r="F175" s="149"/>
      <c r="G175" s="149"/>
      <c r="H175" s="151">
        <v>85.230152054829645</v>
      </c>
      <c r="I175" s="152">
        <v>86.858753686450598</v>
      </c>
      <c r="J175" s="152">
        <v>10857.344210806325</v>
      </c>
      <c r="K175" s="152">
        <v>1.1171503476165305</v>
      </c>
      <c r="L175" s="153">
        <v>162234997.28243667</v>
      </c>
      <c r="M175" s="154">
        <v>912457.80248839525</v>
      </c>
      <c r="N175" s="154">
        <v>1194726.9333333336</v>
      </c>
      <c r="O175" s="155">
        <v>122.23919175125465</v>
      </c>
      <c r="P175" s="154">
        <v>162234997.28243667</v>
      </c>
      <c r="Q175" s="154">
        <v>912457.80248839525</v>
      </c>
      <c r="R175" s="154">
        <v>1194726.9333333336</v>
      </c>
      <c r="S175" s="152">
        <v>122.23919175125465</v>
      </c>
      <c r="T175" s="153">
        <v>324469994.56487334</v>
      </c>
      <c r="U175" s="156"/>
      <c r="V175" s="157">
        <v>1</v>
      </c>
      <c r="W175" s="158">
        <v>1</v>
      </c>
      <c r="X175" s="158">
        <v>2</v>
      </c>
      <c r="Y175" s="158">
        <v>2</v>
      </c>
      <c r="Z175" s="158">
        <v>2</v>
      </c>
      <c r="AA175" s="159">
        <v>1</v>
      </c>
      <c r="AB175" s="158">
        <v>2</v>
      </c>
      <c r="AC175" s="158">
        <v>3</v>
      </c>
      <c r="AD175" s="158">
        <v>3</v>
      </c>
      <c r="AE175" s="160">
        <v>4</v>
      </c>
      <c r="AF175" s="170">
        <v>1</v>
      </c>
      <c r="AG175" s="158">
        <v>2</v>
      </c>
      <c r="AH175" s="158">
        <v>3</v>
      </c>
      <c r="AI175" s="158">
        <v>3</v>
      </c>
      <c r="AJ175" s="158">
        <v>4</v>
      </c>
      <c r="AK175" s="73">
        <f t="shared" si="13"/>
        <v>102.89351851851853</v>
      </c>
      <c r="AL175" s="162"/>
      <c r="AM175" s="163"/>
      <c r="AN175" s="164"/>
      <c r="AO175" s="170" t="s">
        <v>49</v>
      </c>
      <c r="AP175" s="70">
        <f t="shared" si="14"/>
        <v>0.49</v>
      </c>
      <c r="AQ175" s="72">
        <f>IF(head!F$82="S235",235,IF(head!F$82="S275",275,IF(head!F$82="S355",355,IF(head!F$82="S420",420,460))))^0.5*head!$G$70*1000/(S175*3.1416*210000^0.5)</f>
        <v>1.0706392758864023</v>
      </c>
      <c r="AR175" s="72">
        <f t="shared" si="15"/>
        <v>1.2864408521274484</v>
      </c>
      <c r="AS175" s="72">
        <f t="shared" si="16"/>
        <v>0.50008851145943312</v>
      </c>
      <c r="AT175" s="52">
        <f>IF(head!F$82="S235",235,IF(head!F$82="S275",275,IF(head!F$82="S355",355,IF(head!F$82="S420",420,460))))*AS175*J175/1000</f>
        <v>1927.519752198614</v>
      </c>
      <c r="AU175" s="192" t="s">
        <v>47</v>
      </c>
      <c r="AV175" s="75" t="s">
        <v>47</v>
      </c>
      <c r="AW175" s="75" t="s">
        <v>47</v>
      </c>
      <c r="AX175" s="76" t="s">
        <v>47</v>
      </c>
      <c r="AY175" s="67" t="s">
        <v>47</v>
      </c>
      <c r="AZ175" s="193">
        <v>0</v>
      </c>
      <c r="BA175" s="169" t="str">
        <f t="shared" si="17"/>
        <v>CF CHS 355,6 x 12,5</v>
      </c>
      <c r="BB175" s="145"/>
    </row>
    <row r="176" spans="1:54" s="146" customFormat="1" ht="13.5" customHeight="1">
      <c r="A176" s="147" t="s">
        <v>460</v>
      </c>
      <c r="B176" s="62">
        <f t="shared" si="12"/>
        <v>2372.3165123789918</v>
      </c>
      <c r="C176" s="149">
        <v>355.6</v>
      </c>
      <c r="D176" s="149"/>
      <c r="E176" s="150" t="s">
        <v>829</v>
      </c>
      <c r="F176" s="149"/>
      <c r="G176" s="149"/>
      <c r="H176" s="151">
        <v>105.7670181207033</v>
      </c>
      <c r="I176" s="152">
        <v>107.78804394466579</v>
      </c>
      <c r="J176" s="152">
        <v>13473.505493083225</v>
      </c>
      <c r="K176" s="152">
        <v>1.1171503476165305</v>
      </c>
      <c r="L176" s="153">
        <v>198521762.5251154</v>
      </c>
      <c r="M176" s="154">
        <v>1116545.3460355198</v>
      </c>
      <c r="N176" s="154">
        <v>1472121.1666666679</v>
      </c>
      <c r="O176" s="155">
        <v>121.38464688748739</v>
      </c>
      <c r="P176" s="154">
        <v>198521762.5251154</v>
      </c>
      <c r="Q176" s="154">
        <v>1116545.3460355198</v>
      </c>
      <c r="R176" s="154">
        <v>1472121.1666666679</v>
      </c>
      <c r="S176" s="152">
        <v>121.38464688748739</v>
      </c>
      <c r="T176" s="153">
        <v>397043525.0502308</v>
      </c>
      <c r="U176" s="156"/>
      <c r="V176" s="157">
        <v>1</v>
      </c>
      <c r="W176" s="158">
        <v>1</v>
      </c>
      <c r="X176" s="158">
        <v>1</v>
      </c>
      <c r="Y176" s="158">
        <v>2</v>
      </c>
      <c r="Z176" s="158">
        <v>2</v>
      </c>
      <c r="AA176" s="159">
        <v>1</v>
      </c>
      <c r="AB176" s="158">
        <v>1</v>
      </c>
      <c r="AC176" s="158">
        <v>2</v>
      </c>
      <c r="AD176" s="158">
        <v>3</v>
      </c>
      <c r="AE176" s="160">
        <v>3</v>
      </c>
      <c r="AF176" s="170">
        <v>1</v>
      </c>
      <c r="AG176" s="158">
        <v>1</v>
      </c>
      <c r="AH176" s="158">
        <v>2</v>
      </c>
      <c r="AI176" s="158">
        <v>3</v>
      </c>
      <c r="AJ176" s="158">
        <v>3</v>
      </c>
      <c r="AK176" s="73">
        <f t="shared" si="13"/>
        <v>82.9146021568056</v>
      </c>
      <c r="AL176" s="162"/>
      <c r="AM176" s="163"/>
      <c r="AN176" s="164"/>
      <c r="AO176" s="170" t="s">
        <v>49</v>
      </c>
      <c r="AP176" s="70">
        <f t="shared" si="14"/>
        <v>0.49</v>
      </c>
      <c r="AQ176" s="72">
        <f>IF(head!F$82="S235",235,IF(head!F$82="S275",275,IF(head!F$82="S355",355,IF(head!F$82="S420",420,460))))^0.5*head!$G$70*1000/(S176*3.1416*210000^0.5)</f>
        <v>1.0781765494841435</v>
      </c>
      <c r="AR176" s="72">
        <f t="shared" si="15"/>
        <v>1.296385590552382</v>
      </c>
      <c r="AS176" s="72">
        <f t="shared" si="16"/>
        <v>0.49597944116635589</v>
      </c>
      <c r="AT176" s="52">
        <f>IF(head!F$82="S235",235,IF(head!F$82="S275",275,IF(head!F$82="S355",355,IF(head!F$82="S420",420,460))))*AS176*J176/1000</f>
        <v>2372.3165123789918</v>
      </c>
      <c r="AU176" s="192" t="s">
        <v>47</v>
      </c>
      <c r="AV176" s="75" t="s">
        <v>47</v>
      </c>
      <c r="AW176" s="75" t="s">
        <v>47</v>
      </c>
      <c r="AX176" s="76" t="s">
        <v>47</v>
      </c>
      <c r="AY176" s="67" t="s">
        <v>47</v>
      </c>
      <c r="AZ176" s="193">
        <v>0</v>
      </c>
      <c r="BA176" s="169" t="str">
        <f t="shared" si="17"/>
        <v>CF CHS 355,6 x 14,2</v>
      </c>
      <c r="BB176" s="145"/>
    </row>
    <row r="177" spans="1:54" s="146" customFormat="1" ht="13.5" customHeight="1">
      <c r="A177" s="147" t="s">
        <v>461</v>
      </c>
      <c r="B177" s="62">
        <f t="shared" si="12"/>
        <v>2666.5062569600577</v>
      </c>
      <c r="C177" s="149">
        <v>355.6</v>
      </c>
      <c r="D177" s="149"/>
      <c r="E177" s="150" t="s">
        <v>830</v>
      </c>
      <c r="F177" s="149"/>
      <c r="G177" s="149"/>
      <c r="H177" s="151">
        <v>119.55600391885629</v>
      </c>
      <c r="I177" s="152">
        <v>121.84051354787903</v>
      </c>
      <c r="J177" s="152">
        <v>15230.064193484877</v>
      </c>
      <c r="K177" s="152">
        <v>1.1171503476165305</v>
      </c>
      <c r="L177" s="153">
        <v>222274410.36860543</v>
      </c>
      <c r="M177" s="154">
        <v>1250137.29116201</v>
      </c>
      <c r="N177" s="154">
        <v>1656020.6613333325</v>
      </c>
      <c r="O177" s="155">
        <v>120.80749148955955</v>
      </c>
      <c r="P177" s="154">
        <v>222274410.36860543</v>
      </c>
      <c r="Q177" s="154">
        <v>1250137.29116201</v>
      </c>
      <c r="R177" s="154">
        <v>1656020.6613333325</v>
      </c>
      <c r="S177" s="152">
        <v>120.80749148955955</v>
      </c>
      <c r="T177" s="153">
        <v>444548820.73721087</v>
      </c>
      <c r="U177" s="156"/>
      <c r="V177" s="157">
        <v>1</v>
      </c>
      <c r="W177" s="158">
        <v>1</v>
      </c>
      <c r="X177" s="158">
        <v>1</v>
      </c>
      <c r="Y177" s="158">
        <v>1</v>
      </c>
      <c r="Z177" s="158">
        <v>1</v>
      </c>
      <c r="AA177" s="159">
        <v>1</v>
      </c>
      <c r="AB177" s="158">
        <v>1</v>
      </c>
      <c r="AC177" s="158">
        <v>2</v>
      </c>
      <c r="AD177" s="158">
        <v>2</v>
      </c>
      <c r="AE177" s="160">
        <v>2</v>
      </c>
      <c r="AF177" s="170">
        <v>1</v>
      </c>
      <c r="AG177" s="158">
        <v>1</v>
      </c>
      <c r="AH177" s="158">
        <v>2</v>
      </c>
      <c r="AI177" s="158">
        <v>2</v>
      </c>
      <c r="AJ177" s="158">
        <v>2</v>
      </c>
      <c r="AK177" s="73">
        <f t="shared" si="13"/>
        <v>73.351650618414709</v>
      </c>
      <c r="AL177" s="162"/>
      <c r="AM177" s="163"/>
      <c r="AN177" s="164"/>
      <c r="AO177" s="170" t="s">
        <v>49</v>
      </c>
      <c r="AP177" s="70">
        <f t="shared" si="14"/>
        <v>0.49</v>
      </c>
      <c r="AQ177" s="72">
        <f>IF(head!F$82="S235",235,IF(head!F$82="S275",275,IF(head!F$82="S355",355,IF(head!F$82="S420",420,460))))^0.5*head!$G$70*1000/(S177*3.1416*210000^0.5)</f>
        <v>1.0833275165953824</v>
      </c>
      <c r="AR177" s="72">
        <f t="shared" si="15"/>
        <v>1.3032144956722278</v>
      </c>
      <c r="AS177" s="72">
        <f t="shared" si="16"/>
        <v>0.49318802176070814</v>
      </c>
      <c r="AT177" s="52">
        <f>IF(head!F$82="S235",235,IF(head!F$82="S275",275,IF(head!F$82="S355",355,IF(head!F$82="S420",420,460))))*AS177*J177/1000</f>
        <v>2666.5062569600577</v>
      </c>
      <c r="AU177" s="192" t="s">
        <v>47</v>
      </c>
      <c r="AV177" s="75" t="s">
        <v>47</v>
      </c>
      <c r="AW177" s="75" t="s">
        <v>47</v>
      </c>
      <c r="AX177" s="76" t="s">
        <v>47</v>
      </c>
      <c r="AY177" s="67" t="s">
        <v>47</v>
      </c>
      <c r="AZ177" s="193">
        <v>0</v>
      </c>
      <c r="BA177" s="169" t="str">
        <f t="shared" si="17"/>
        <v>CF CHS 355,6 x 16</v>
      </c>
      <c r="BB177" s="145"/>
    </row>
    <row r="178" spans="1:54" s="146" customFormat="1" ht="13.5" customHeight="1">
      <c r="A178" s="147" t="s">
        <v>462</v>
      </c>
      <c r="B178" s="62">
        <f t="shared" si="12"/>
        <v>2970.7812717206548</v>
      </c>
      <c r="C178" s="149">
        <v>355.6</v>
      </c>
      <c r="D178" s="149"/>
      <c r="E178" s="150" t="s">
        <v>831</v>
      </c>
      <c r="F178" s="149"/>
      <c r="G178" s="149"/>
      <c r="H178" s="151">
        <v>134.00073906398211</v>
      </c>
      <c r="I178" s="152">
        <v>136.56126274036393</v>
      </c>
      <c r="J178" s="152">
        <v>17070.157842545494</v>
      </c>
      <c r="K178" s="152">
        <v>1.1171503476165305</v>
      </c>
      <c r="L178" s="153">
        <v>246629981.91225427</v>
      </c>
      <c r="M178" s="154">
        <v>1387120.258224152</v>
      </c>
      <c r="N178" s="154">
        <v>1846615.8933333331</v>
      </c>
      <c r="O178" s="155">
        <v>120.1999168052957</v>
      </c>
      <c r="P178" s="154">
        <v>246629981.91225427</v>
      </c>
      <c r="Q178" s="154">
        <v>1387120.258224152</v>
      </c>
      <c r="R178" s="154">
        <v>1846615.8933333331</v>
      </c>
      <c r="S178" s="152">
        <v>120.1999168052957</v>
      </c>
      <c r="T178" s="153">
        <v>493259963.82450855</v>
      </c>
      <c r="U178" s="156"/>
      <c r="V178" s="157">
        <v>1</v>
      </c>
      <c r="W178" s="158">
        <v>1</v>
      </c>
      <c r="X178" s="158">
        <v>1</v>
      </c>
      <c r="Y178" s="158">
        <v>1</v>
      </c>
      <c r="Z178" s="158">
        <v>1</v>
      </c>
      <c r="AA178" s="159">
        <v>1</v>
      </c>
      <c r="AB178" s="158">
        <v>1</v>
      </c>
      <c r="AC178" s="158">
        <v>1</v>
      </c>
      <c r="AD178" s="158">
        <v>2</v>
      </c>
      <c r="AE178" s="160">
        <v>2</v>
      </c>
      <c r="AF178" s="170">
        <v>1</v>
      </c>
      <c r="AG178" s="158">
        <v>1</v>
      </c>
      <c r="AH178" s="158">
        <v>1</v>
      </c>
      <c r="AI178" s="158">
        <v>2</v>
      </c>
      <c r="AJ178" s="158">
        <v>2</v>
      </c>
      <c r="AK178" s="73">
        <f t="shared" si="13"/>
        <v>65.444640753828068</v>
      </c>
      <c r="AL178" s="162"/>
      <c r="AM178" s="163"/>
      <c r="AN178" s="164"/>
      <c r="AO178" s="170" t="s">
        <v>49</v>
      </c>
      <c r="AP178" s="70">
        <f t="shared" si="14"/>
        <v>0.49</v>
      </c>
      <c r="AQ178" s="72">
        <f>IF(head!F$82="S235",235,IF(head!F$82="S275",275,IF(head!F$82="S355",355,IF(head!F$82="S420",420,460))))^0.5*head!$G$70*1000/(S178*3.1416*210000^0.5)</f>
        <v>1.0888034136787055</v>
      </c>
      <c r="AR178" s="72">
        <f t="shared" si="15"/>
        <v>1.310503273170484</v>
      </c>
      <c r="AS178" s="72">
        <f t="shared" si="16"/>
        <v>0.49023553418185584</v>
      </c>
      <c r="AT178" s="52">
        <f>IF(head!F$82="S235",235,IF(head!F$82="S275",275,IF(head!F$82="S355",355,IF(head!F$82="S420",420,460))))*AS178*J178/1000</f>
        <v>2970.7812717206548</v>
      </c>
      <c r="AU178" s="192" t="s">
        <v>47</v>
      </c>
      <c r="AV178" s="75" t="s">
        <v>47</v>
      </c>
      <c r="AW178" s="75" t="s">
        <v>47</v>
      </c>
      <c r="AX178" s="76" t="s">
        <v>47</v>
      </c>
      <c r="AY178" s="67" t="s">
        <v>47</v>
      </c>
      <c r="AZ178" s="193">
        <v>0</v>
      </c>
      <c r="BA178" s="169" t="str">
        <f t="shared" si="17"/>
        <v>CF CHS 355,6 x 17,5</v>
      </c>
      <c r="BB178" s="145"/>
    </row>
    <row r="179" spans="1:54" s="146" customFormat="1" ht="13.5" customHeight="1">
      <c r="A179" s="147" t="s">
        <v>463</v>
      </c>
      <c r="B179" s="62">
        <f t="shared" si="12"/>
        <v>3218.7237637230846</v>
      </c>
      <c r="C179" s="149">
        <v>355.6</v>
      </c>
      <c r="D179" s="149"/>
      <c r="E179" s="150" t="s">
        <v>832</v>
      </c>
      <c r="F179" s="149"/>
      <c r="G179" s="149"/>
      <c r="H179" s="151">
        <v>145.91594391505015</v>
      </c>
      <c r="I179" s="152">
        <v>148.70414666501927</v>
      </c>
      <c r="J179" s="152">
        <v>18588.018333127409</v>
      </c>
      <c r="K179" s="152">
        <v>1.1171503476165305</v>
      </c>
      <c r="L179" s="153">
        <v>266314860.37297881</v>
      </c>
      <c r="M179" s="154">
        <v>1497833.8603654602</v>
      </c>
      <c r="N179" s="154">
        <v>2002239.633333334</v>
      </c>
      <c r="O179" s="155">
        <v>119.69641807506187</v>
      </c>
      <c r="P179" s="154">
        <v>266314860.37297881</v>
      </c>
      <c r="Q179" s="154">
        <v>1497833.8603654602</v>
      </c>
      <c r="R179" s="154">
        <v>2002239.633333334</v>
      </c>
      <c r="S179" s="152">
        <v>119.69641807506187</v>
      </c>
      <c r="T179" s="153">
        <v>532629720.74595761</v>
      </c>
      <c r="U179" s="156"/>
      <c r="V179" s="157">
        <v>1</v>
      </c>
      <c r="W179" s="158">
        <v>1</v>
      </c>
      <c r="X179" s="158">
        <v>1</v>
      </c>
      <c r="Y179" s="158">
        <v>1</v>
      </c>
      <c r="Z179" s="158">
        <v>1</v>
      </c>
      <c r="AA179" s="159">
        <v>1</v>
      </c>
      <c r="AB179" s="158">
        <v>1</v>
      </c>
      <c r="AC179" s="158">
        <v>1</v>
      </c>
      <c r="AD179" s="158">
        <v>2</v>
      </c>
      <c r="AE179" s="160">
        <v>2</v>
      </c>
      <c r="AF179" s="170">
        <v>1</v>
      </c>
      <c r="AG179" s="158">
        <v>1</v>
      </c>
      <c r="AH179" s="158">
        <v>1</v>
      </c>
      <c r="AI179" s="158">
        <v>2</v>
      </c>
      <c r="AJ179" s="158">
        <v>2</v>
      </c>
      <c r="AK179" s="73">
        <f t="shared" si="13"/>
        <v>60.100561963916007</v>
      </c>
      <c r="AL179" s="162"/>
      <c r="AM179" s="163"/>
      <c r="AN179" s="164"/>
      <c r="AO179" s="170" t="s">
        <v>49</v>
      </c>
      <c r="AP179" s="70">
        <f t="shared" si="14"/>
        <v>0.49</v>
      </c>
      <c r="AQ179" s="72">
        <f>IF(head!F$82="S235",235,IF(head!F$82="S275",275,IF(head!F$82="S355",355,IF(head!F$82="S420",420,460))))^0.5*head!$G$70*1000/(S179*3.1416*210000^0.5)</f>
        <v>1.0933834265569329</v>
      </c>
      <c r="AR179" s="72">
        <f t="shared" si="15"/>
        <v>1.3166225982411386</v>
      </c>
      <c r="AS179" s="72">
        <f t="shared" si="16"/>
        <v>0.48777805901377269</v>
      </c>
      <c r="AT179" s="52">
        <f>IF(head!F$82="S235",235,IF(head!F$82="S275",275,IF(head!F$82="S355",355,IF(head!F$82="S420",420,460))))*AS179*J179/1000</f>
        <v>3218.7237637230846</v>
      </c>
      <c r="AU179" s="192" t="s">
        <v>47</v>
      </c>
      <c r="AV179" s="75" t="s">
        <v>47</v>
      </c>
      <c r="AW179" s="75" t="s">
        <v>47</v>
      </c>
      <c r="AX179" s="76" t="s">
        <v>47</v>
      </c>
      <c r="AY179" s="67" t="s">
        <v>47</v>
      </c>
      <c r="AZ179" s="193">
        <v>0</v>
      </c>
      <c r="BA179" s="169" t="str">
        <f t="shared" si="17"/>
        <v>CF CHS 355,6 x 20</v>
      </c>
      <c r="BB179" s="145"/>
    </row>
    <row r="180" spans="1:54" s="146" customFormat="1" ht="13.5" customHeight="1">
      <c r="A180" s="147" t="s">
        <v>464</v>
      </c>
      <c r="B180" s="62">
        <f t="shared" si="12"/>
        <v>3620.7342971523071</v>
      </c>
      <c r="C180" s="149">
        <v>355.6</v>
      </c>
      <c r="D180" s="149"/>
      <c r="E180" s="150" t="s">
        <v>833</v>
      </c>
      <c r="F180" s="149"/>
      <c r="G180" s="149"/>
      <c r="H180" s="151">
        <v>165.52800364352331</v>
      </c>
      <c r="I180" s="152">
        <v>168.6909591271575</v>
      </c>
      <c r="J180" s="152">
        <v>21086.36989089469</v>
      </c>
      <c r="K180" s="152">
        <v>1.1171503476165305</v>
      </c>
      <c r="L180" s="153">
        <v>297917090.09391445</v>
      </c>
      <c r="M180" s="154">
        <v>1675574.1850051431</v>
      </c>
      <c r="N180" s="154">
        <v>2255213.8666666672</v>
      </c>
      <c r="O180" s="155">
        <v>118.86303041736738</v>
      </c>
      <c r="P180" s="154">
        <v>297917090.09391445</v>
      </c>
      <c r="Q180" s="154">
        <v>1675574.1850051431</v>
      </c>
      <c r="R180" s="154">
        <v>2255213.8666666672</v>
      </c>
      <c r="S180" s="152">
        <v>118.86303041736738</v>
      </c>
      <c r="T180" s="153">
        <v>595834180.1878289</v>
      </c>
      <c r="U180" s="156"/>
      <c r="V180" s="157">
        <v>1</v>
      </c>
      <c r="W180" s="158">
        <v>1</v>
      </c>
      <c r="X180" s="158">
        <v>1</v>
      </c>
      <c r="Y180" s="158">
        <v>1</v>
      </c>
      <c r="Z180" s="158">
        <v>1</v>
      </c>
      <c r="AA180" s="159">
        <v>1</v>
      </c>
      <c r="AB180" s="158">
        <v>1</v>
      </c>
      <c r="AC180" s="158">
        <v>1</v>
      </c>
      <c r="AD180" s="158">
        <v>1</v>
      </c>
      <c r="AE180" s="160">
        <v>1</v>
      </c>
      <c r="AF180" s="170">
        <v>1</v>
      </c>
      <c r="AG180" s="158">
        <v>1</v>
      </c>
      <c r="AH180" s="158">
        <v>1</v>
      </c>
      <c r="AI180" s="158">
        <v>1</v>
      </c>
      <c r="AJ180" s="158">
        <v>1</v>
      </c>
      <c r="AK180" s="73">
        <f t="shared" si="13"/>
        <v>52.979737783075102</v>
      </c>
      <c r="AL180" s="162"/>
      <c r="AM180" s="163"/>
      <c r="AN180" s="164"/>
      <c r="AO180" s="170" t="s">
        <v>49</v>
      </c>
      <c r="AP180" s="70">
        <f t="shared" si="14"/>
        <v>0.49</v>
      </c>
      <c r="AQ180" s="72">
        <f>IF(head!F$82="S235",235,IF(head!F$82="S275",275,IF(head!F$82="S355",355,IF(head!F$82="S420",420,460))))^0.5*head!$G$70*1000/(S180*3.1416*210000^0.5)</f>
        <v>1.1010494960624864</v>
      </c>
      <c r="AR180" s="72">
        <f t="shared" si="15"/>
        <v>1.3269121229250369</v>
      </c>
      <c r="AS180" s="72">
        <f t="shared" si="16"/>
        <v>0.48368930233355367</v>
      </c>
      <c r="AT180" s="52">
        <f>IF(head!F$82="S235",235,IF(head!F$82="S275",275,IF(head!F$82="S355",355,IF(head!F$82="S420",420,460))))*AS180*J180/1000</f>
        <v>3620.7342971523071</v>
      </c>
      <c r="AU180" s="192" t="s">
        <v>47</v>
      </c>
      <c r="AV180" s="75" t="s">
        <v>47</v>
      </c>
      <c r="AW180" s="75" t="s">
        <v>47</v>
      </c>
      <c r="AX180" s="76" t="s">
        <v>47</v>
      </c>
      <c r="AY180" s="67" t="s">
        <v>47</v>
      </c>
      <c r="AZ180" s="193">
        <v>0</v>
      </c>
      <c r="BA180" s="169" t="str">
        <f t="shared" si="17"/>
        <v>CF CHS 406,4 x 6,3</v>
      </c>
      <c r="BB180" s="145"/>
    </row>
    <row r="181" spans="1:54" s="146" customFormat="1" ht="13.5" customHeight="1">
      <c r="A181" s="147" t="s">
        <v>465</v>
      </c>
      <c r="B181" s="62">
        <f t="shared" si="12"/>
        <v>1643.1422489806284</v>
      </c>
      <c r="C181" s="149">
        <v>406.4</v>
      </c>
      <c r="D181" s="149"/>
      <c r="E181" s="150">
        <v>6.3</v>
      </c>
      <c r="F181" s="149"/>
      <c r="G181" s="149"/>
      <c r="H181" s="151">
        <v>62.162522619781733</v>
      </c>
      <c r="I181" s="152">
        <v>63.35034152334444</v>
      </c>
      <c r="J181" s="152">
        <v>7918.7926904180549</v>
      </c>
      <c r="K181" s="152">
        <v>1.2767432544188919</v>
      </c>
      <c r="L181" s="153">
        <v>158494338.74399146</v>
      </c>
      <c r="M181" s="154">
        <v>779991.82452751708</v>
      </c>
      <c r="N181" s="154">
        <v>1008587.4120000016</v>
      </c>
      <c r="O181" s="155">
        <v>141.47424677304346</v>
      </c>
      <c r="P181" s="154">
        <v>158494338.74399146</v>
      </c>
      <c r="Q181" s="154">
        <v>779991.82452751708</v>
      </c>
      <c r="R181" s="154">
        <v>1008587.4120000016</v>
      </c>
      <c r="S181" s="152">
        <v>141.47424677304346</v>
      </c>
      <c r="T181" s="153">
        <v>316988677.48798293</v>
      </c>
      <c r="U181" s="156"/>
      <c r="V181" s="157">
        <v>2</v>
      </c>
      <c r="W181" s="158">
        <v>3</v>
      </c>
      <c r="X181" s="158">
        <v>4</v>
      </c>
      <c r="Y181" s="158">
        <v>4</v>
      </c>
      <c r="Z181" s="158">
        <v>4</v>
      </c>
      <c r="AA181" s="159">
        <v>3</v>
      </c>
      <c r="AB181" s="158">
        <v>4</v>
      </c>
      <c r="AC181" s="158">
        <v>4</v>
      </c>
      <c r="AD181" s="158">
        <v>4</v>
      </c>
      <c r="AE181" s="160">
        <v>4</v>
      </c>
      <c r="AF181" s="170">
        <v>3</v>
      </c>
      <c r="AG181" s="158">
        <v>4</v>
      </c>
      <c r="AH181" s="158">
        <v>4</v>
      </c>
      <c r="AI181" s="158">
        <v>4</v>
      </c>
      <c r="AJ181" s="158">
        <v>4</v>
      </c>
      <c r="AK181" s="73">
        <f t="shared" si="13"/>
        <v>161.22953388636938</v>
      </c>
      <c r="AL181" s="162"/>
      <c r="AM181" s="163"/>
      <c r="AN181" s="164"/>
      <c r="AO181" s="170" t="s">
        <v>49</v>
      </c>
      <c r="AP181" s="70">
        <f t="shared" si="14"/>
        <v>0.49</v>
      </c>
      <c r="AQ181" s="72">
        <f>IF(head!F$82="S235",235,IF(head!F$82="S275",275,IF(head!F$82="S355",355,IF(head!F$82="S420",420,460))))^0.5*head!$G$70*1000/(S181*3.1416*210000^0.5)</f>
        <v>0.92507352204853122</v>
      </c>
      <c r="AR181" s="72">
        <f t="shared" si="15"/>
        <v>1.1055235234995273</v>
      </c>
      <c r="AS181" s="72">
        <f t="shared" si="16"/>
        <v>0.5845044688490304</v>
      </c>
      <c r="AT181" s="52">
        <f>IF(head!F$82="S235",235,IF(head!F$82="S275",275,IF(head!F$82="S355",355,IF(head!F$82="S420",420,460))))*AS181*J181/1000</f>
        <v>1643.1422489806284</v>
      </c>
      <c r="AU181" s="192" t="s">
        <v>47</v>
      </c>
      <c r="AV181" s="75" t="s">
        <v>47</v>
      </c>
      <c r="AW181" s="75" t="s">
        <v>47</v>
      </c>
      <c r="AX181" s="76" t="s">
        <v>47</v>
      </c>
      <c r="AY181" s="67" t="s">
        <v>47</v>
      </c>
      <c r="AZ181" s="193">
        <v>0</v>
      </c>
      <c r="BA181" s="169" t="str">
        <f t="shared" si="17"/>
        <v>CF CHS 406,4 x 8</v>
      </c>
      <c r="BB181" s="145"/>
    </row>
    <row r="182" spans="1:54" s="146" customFormat="1" ht="13.5" customHeight="1">
      <c r="A182" s="147" t="s">
        <v>466</v>
      </c>
      <c r="B182" s="62">
        <f t="shared" si="12"/>
        <v>2069.3011747384762</v>
      </c>
      <c r="C182" s="149">
        <v>406.4</v>
      </c>
      <c r="D182" s="149"/>
      <c r="E182" s="150" t="s">
        <v>826</v>
      </c>
      <c r="F182" s="149"/>
      <c r="G182" s="149"/>
      <c r="H182" s="151">
        <v>78.601140228342985</v>
      </c>
      <c r="I182" s="152">
        <v>80.103072844171194</v>
      </c>
      <c r="J182" s="152">
        <v>10012.884105521402</v>
      </c>
      <c r="K182" s="152">
        <v>1.2767432544188919</v>
      </c>
      <c r="L182" s="153">
        <v>198738927.8493025</v>
      </c>
      <c r="M182" s="154">
        <v>978045.90477018955</v>
      </c>
      <c r="N182" s="154">
        <v>1269951.1466666684</v>
      </c>
      <c r="O182" s="155">
        <v>140.8840658129939</v>
      </c>
      <c r="P182" s="154">
        <v>198738927.8493025</v>
      </c>
      <c r="Q182" s="154">
        <v>978045.90477018955</v>
      </c>
      <c r="R182" s="154">
        <v>1269951.1466666684</v>
      </c>
      <c r="S182" s="152">
        <v>140.8840658129939</v>
      </c>
      <c r="T182" s="153">
        <v>397477855.698605</v>
      </c>
      <c r="U182" s="156"/>
      <c r="V182" s="157">
        <v>2</v>
      </c>
      <c r="W182" s="158">
        <v>2</v>
      </c>
      <c r="X182" s="158">
        <v>3</v>
      </c>
      <c r="Y182" s="158">
        <v>4</v>
      </c>
      <c r="Z182" s="158">
        <v>4</v>
      </c>
      <c r="AA182" s="159">
        <v>3</v>
      </c>
      <c r="AB182" s="158">
        <v>3</v>
      </c>
      <c r="AC182" s="158">
        <v>4</v>
      </c>
      <c r="AD182" s="158">
        <v>4</v>
      </c>
      <c r="AE182" s="160">
        <v>4</v>
      </c>
      <c r="AF182" s="170">
        <v>3</v>
      </c>
      <c r="AG182" s="158">
        <v>3</v>
      </c>
      <c r="AH182" s="158">
        <v>4</v>
      </c>
      <c r="AI182" s="158">
        <v>4</v>
      </c>
      <c r="AJ182" s="158">
        <v>4</v>
      </c>
      <c r="AK182" s="73">
        <f t="shared" si="13"/>
        <v>127.51004016064239</v>
      </c>
      <c r="AL182" s="162"/>
      <c r="AM182" s="163"/>
      <c r="AN182" s="164"/>
      <c r="AO182" s="170" t="s">
        <v>49</v>
      </c>
      <c r="AP182" s="70">
        <f t="shared" si="14"/>
        <v>0.49</v>
      </c>
      <c r="AQ182" s="72">
        <f>IF(head!F$82="S235",235,IF(head!F$82="S275",275,IF(head!F$82="S355",355,IF(head!F$82="S420",420,460))))^0.5*head!$G$70*1000/(S182*3.1416*210000^0.5)</f>
        <v>0.92894877065247006</v>
      </c>
      <c r="AR182" s="72">
        <f t="shared" si="15"/>
        <v>1.1100653580582229</v>
      </c>
      <c r="AS182" s="72">
        <f t="shared" si="16"/>
        <v>0.582151688983918</v>
      </c>
      <c r="AT182" s="52">
        <f>IF(head!F$82="S235",235,IF(head!F$82="S275",275,IF(head!F$82="S355",355,IF(head!F$82="S420",420,460))))*AS182*J182/1000</f>
        <v>2069.3011747384762</v>
      </c>
      <c r="AU182" s="192" t="s">
        <v>47</v>
      </c>
      <c r="AV182" s="75" t="s">
        <v>47</v>
      </c>
      <c r="AW182" s="75" t="s">
        <v>47</v>
      </c>
      <c r="AX182" s="76" t="s">
        <v>47</v>
      </c>
      <c r="AY182" s="67" t="s">
        <v>47</v>
      </c>
      <c r="AZ182" s="193">
        <v>0</v>
      </c>
      <c r="BA182" s="169" t="str">
        <f t="shared" si="17"/>
        <v>CF CHS 406,4 x 8,8</v>
      </c>
      <c r="BB182" s="145"/>
    </row>
    <row r="183" spans="1:54" s="146" customFormat="1" ht="13.5" customHeight="1">
      <c r="A183" s="147" t="s">
        <v>467</v>
      </c>
      <c r="B183" s="62">
        <f t="shared" si="12"/>
        <v>2267.3340745042274</v>
      </c>
      <c r="C183" s="149">
        <v>406.4</v>
      </c>
      <c r="D183" s="149"/>
      <c r="E183" s="150" t="s">
        <v>827</v>
      </c>
      <c r="F183" s="149"/>
      <c r="G183" s="149"/>
      <c r="H183" s="151">
        <v>86.287637274769324</v>
      </c>
      <c r="I183" s="152">
        <v>87.93644563033817</v>
      </c>
      <c r="J183" s="152">
        <v>10992.05570379227</v>
      </c>
      <c r="K183" s="152">
        <v>1.2767432544188919</v>
      </c>
      <c r="L183" s="153">
        <v>217317338.08625463</v>
      </c>
      <c r="M183" s="154">
        <v>1069475.0890071588</v>
      </c>
      <c r="N183" s="154">
        <v>1391381.8453333355</v>
      </c>
      <c r="O183" s="155">
        <v>140.60725443589314</v>
      </c>
      <c r="P183" s="154">
        <v>217317338.08625463</v>
      </c>
      <c r="Q183" s="154">
        <v>1069475.0890071588</v>
      </c>
      <c r="R183" s="154">
        <v>1391381.8453333355</v>
      </c>
      <c r="S183" s="152">
        <v>140.60725443589314</v>
      </c>
      <c r="T183" s="153">
        <v>434634676.17250925</v>
      </c>
      <c r="U183" s="156"/>
      <c r="V183" s="157">
        <v>1</v>
      </c>
      <c r="W183" s="158">
        <v>2</v>
      </c>
      <c r="X183" s="158">
        <v>2</v>
      </c>
      <c r="Y183" s="158">
        <v>3</v>
      </c>
      <c r="Z183" s="158">
        <v>4</v>
      </c>
      <c r="AA183" s="159">
        <v>2</v>
      </c>
      <c r="AB183" s="158">
        <v>3</v>
      </c>
      <c r="AC183" s="158">
        <v>4</v>
      </c>
      <c r="AD183" s="158">
        <v>4</v>
      </c>
      <c r="AE183" s="160">
        <v>4</v>
      </c>
      <c r="AF183" s="170">
        <v>2</v>
      </c>
      <c r="AG183" s="158">
        <v>3</v>
      </c>
      <c r="AH183" s="158">
        <v>4</v>
      </c>
      <c r="AI183" s="158">
        <v>4</v>
      </c>
      <c r="AJ183" s="158">
        <v>4</v>
      </c>
      <c r="AK183" s="73">
        <f t="shared" si="13"/>
        <v>116.15145417962303</v>
      </c>
      <c r="AL183" s="162"/>
      <c r="AM183" s="163"/>
      <c r="AN183" s="164"/>
      <c r="AO183" s="170" t="s">
        <v>49</v>
      </c>
      <c r="AP183" s="70">
        <f t="shared" si="14"/>
        <v>0.49</v>
      </c>
      <c r="AQ183" s="72">
        <f>IF(head!F$82="S235",235,IF(head!F$82="S275",275,IF(head!F$82="S355",355,IF(head!F$82="S420",420,460))))^0.5*head!$G$70*1000/(S183*3.1416*210000^0.5)</f>
        <v>0.9307775780599683</v>
      </c>
      <c r="AR183" s="72">
        <f t="shared" si="15"/>
        <v>1.1122139565342826</v>
      </c>
      <c r="AS183" s="72">
        <f t="shared" si="16"/>
        <v>0.58104295684161789</v>
      </c>
      <c r="AT183" s="52">
        <f>IF(head!F$82="S235",235,IF(head!F$82="S275",275,IF(head!F$82="S355",355,IF(head!F$82="S420",420,460))))*AS183*J183/1000</f>
        <v>2267.3340745042274</v>
      </c>
      <c r="AU183" s="192" t="s">
        <v>47</v>
      </c>
      <c r="AV183" s="75" t="s">
        <v>47</v>
      </c>
      <c r="AW183" s="75" t="s">
        <v>47</v>
      </c>
      <c r="AX183" s="76" t="s">
        <v>47</v>
      </c>
      <c r="AY183" s="67" t="s">
        <v>47</v>
      </c>
      <c r="AZ183" s="193">
        <v>0</v>
      </c>
      <c r="BA183" s="169" t="str">
        <f t="shared" si="17"/>
        <v>CF CHS 406,4 x 10</v>
      </c>
      <c r="BB183" s="145"/>
    </row>
    <row r="184" spans="1:54" s="146" customFormat="1" ht="13.5" customHeight="1">
      <c r="A184" s="147" t="s">
        <v>468</v>
      </c>
      <c r="B184" s="62">
        <f t="shared" si="12"/>
        <v>2561.3796292563884</v>
      </c>
      <c r="C184" s="149">
        <v>406.4</v>
      </c>
      <c r="D184" s="149"/>
      <c r="E184" s="150">
        <v>10</v>
      </c>
      <c r="F184" s="149"/>
      <c r="G184" s="149"/>
      <c r="H184" s="151">
        <v>97.75819523881502</v>
      </c>
      <c r="I184" s="152">
        <v>99.626186230639505</v>
      </c>
      <c r="J184" s="152">
        <v>12453.27327882994</v>
      </c>
      <c r="K184" s="152">
        <v>1.2767432544188919</v>
      </c>
      <c r="L184" s="153">
        <v>244758127.41491711</v>
      </c>
      <c r="M184" s="154">
        <v>1204518.3435773482</v>
      </c>
      <c r="N184" s="154">
        <v>1571662.9333333336</v>
      </c>
      <c r="O184" s="155">
        <v>140.19315247186648</v>
      </c>
      <c r="P184" s="154">
        <v>244758127.41491711</v>
      </c>
      <c r="Q184" s="154">
        <v>1204518.3435773482</v>
      </c>
      <c r="R184" s="154">
        <v>1571662.9333333336</v>
      </c>
      <c r="S184" s="152">
        <v>140.19315247186648</v>
      </c>
      <c r="T184" s="153">
        <v>489516254.82983422</v>
      </c>
      <c r="U184" s="156"/>
      <c r="V184" s="157">
        <v>1</v>
      </c>
      <c r="W184" s="158">
        <v>1</v>
      </c>
      <c r="X184" s="158">
        <v>2</v>
      </c>
      <c r="Y184" s="158">
        <v>3</v>
      </c>
      <c r="Z184" s="158">
        <v>3</v>
      </c>
      <c r="AA184" s="159">
        <v>2</v>
      </c>
      <c r="AB184" s="158">
        <v>2</v>
      </c>
      <c r="AC184" s="158">
        <v>3</v>
      </c>
      <c r="AD184" s="158">
        <v>4</v>
      </c>
      <c r="AE184" s="160">
        <v>4</v>
      </c>
      <c r="AF184" s="170">
        <v>2</v>
      </c>
      <c r="AG184" s="158">
        <v>2</v>
      </c>
      <c r="AH184" s="158">
        <v>3</v>
      </c>
      <c r="AI184" s="158">
        <v>4</v>
      </c>
      <c r="AJ184" s="158">
        <v>4</v>
      </c>
      <c r="AK184" s="73">
        <f t="shared" si="13"/>
        <v>102.52270433905146</v>
      </c>
      <c r="AL184" s="162"/>
      <c r="AM184" s="163"/>
      <c r="AN184" s="164"/>
      <c r="AO184" s="170" t="s">
        <v>49</v>
      </c>
      <c r="AP184" s="70">
        <f t="shared" si="14"/>
        <v>0.49</v>
      </c>
      <c r="AQ184" s="72">
        <f>IF(head!F$82="S235",235,IF(head!F$82="S275",275,IF(head!F$82="S355",355,IF(head!F$82="S420",420,460))))^0.5*head!$G$70*1000/(S184*3.1416*210000^0.5)</f>
        <v>0.93352690508736325</v>
      </c>
      <c r="AR184" s="72">
        <f t="shared" si="15"/>
        <v>1.1154503330073995</v>
      </c>
      <c r="AS184" s="72">
        <f t="shared" si="16"/>
        <v>0.57937810595506101</v>
      </c>
      <c r="AT184" s="52">
        <f>IF(head!F$82="S235",235,IF(head!F$82="S275",275,IF(head!F$82="S355",355,IF(head!F$82="S420",420,460))))*AS184*J184/1000</f>
        <v>2561.3796292563884</v>
      </c>
      <c r="AU184" s="192" t="s">
        <v>47</v>
      </c>
      <c r="AV184" s="75" t="s">
        <v>47</v>
      </c>
      <c r="AW184" s="75" t="s">
        <v>47</v>
      </c>
      <c r="AX184" s="76" t="s">
        <v>47</v>
      </c>
      <c r="AY184" s="67" t="s">
        <v>47</v>
      </c>
      <c r="AZ184" s="193">
        <v>0</v>
      </c>
      <c r="BA184" s="169" t="str">
        <f t="shared" si="17"/>
        <v>CF CHS 406,4 x 12,5</v>
      </c>
      <c r="BB184" s="145"/>
    </row>
    <row r="185" spans="1:54" s="146" customFormat="1" ht="13.5" customHeight="1">
      <c r="A185" s="147" t="s">
        <v>469</v>
      </c>
      <c r="B185" s="62">
        <f t="shared" ref="B185:B248" si="18">AT185</f>
        <v>3162.4512894113082</v>
      </c>
      <c r="C185" s="149">
        <v>406.4</v>
      </c>
      <c r="D185" s="149"/>
      <c r="E185" s="150" t="s">
        <v>829</v>
      </c>
      <c r="F185" s="149"/>
      <c r="G185" s="149"/>
      <c r="H185" s="151">
        <v>121.42707210068504</v>
      </c>
      <c r="I185" s="152">
        <v>123.74733462490195</v>
      </c>
      <c r="J185" s="152">
        <v>15468.416828112744</v>
      </c>
      <c r="K185" s="152">
        <v>1.2767432544188919</v>
      </c>
      <c r="L185" s="153">
        <v>300306667.28705204</v>
      </c>
      <c r="M185" s="154">
        <v>1477887.1421606892</v>
      </c>
      <c r="N185" s="154">
        <v>1940116.1666666667</v>
      </c>
      <c r="O185" s="155">
        <v>139.33478567823616</v>
      </c>
      <c r="P185" s="154">
        <v>300306667.28705204</v>
      </c>
      <c r="Q185" s="154">
        <v>1477887.1421606892</v>
      </c>
      <c r="R185" s="154">
        <v>1940116.1666666667</v>
      </c>
      <c r="S185" s="152">
        <v>139.33478567823616</v>
      </c>
      <c r="T185" s="153">
        <v>600613334.57410407</v>
      </c>
      <c r="U185" s="156"/>
      <c r="V185" s="157">
        <v>1</v>
      </c>
      <c r="W185" s="158">
        <v>1</v>
      </c>
      <c r="X185" s="158">
        <v>1</v>
      </c>
      <c r="Y185" s="158">
        <v>2</v>
      </c>
      <c r="Z185" s="158">
        <v>2</v>
      </c>
      <c r="AA185" s="159">
        <v>1</v>
      </c>
      <c r="AB185" s="158">
        <v>2</v>
      </c>
      <c r="AC185" s="158">
        <v>2</v>
      </c>
      <c r="AD185" s="158">
        <v>3</v>
      </c>
      <c r="AE185" s="160">
        <v>3</v>
      </c>
      <c r="AF185" s="170">
        <v>1</v>
      </c>
      <c r="AG185" s="158">
        <v>2</v>
      </c>
      <c r="AH185" s="158">
        <v>2</v>
      </c>
      <c r="AI185" s="158">
        <v>3</v>
      </c>
      <c r="AJ185" s="158">
        <v>3</v>
      </c>
      <c r="AK185" s="73">
        <f t="shared" si="13"/>
        <v>82.538715410002538</v>
      </c>
      <c r="AL185" s="162"/>
      <c r="AM185" s="163"/>
      <c r="AN185" s="164"/>
      <c r="AO185" s="170" t="s">
        <v>49</v>
      </c>
      <c r="AP185" s="70">
        <f t="shared" si="14"/>
        <v>0.49</v>
      </c>
      <c r="AQ185" s="72">
        <f>IF(head!F$82="S235",235,IF(head!F$82="S275",275,IF(head!F$82="S355",355,IF(head!F$82="S420",420,460))))^0.5*head!$G$70*1000/(S185*3.1416*210000^0.5)</f>
        <v>0.93927786305803074</v>
      </c>
      <c r="AR185" s="72">
        <f t="shared" si="15"/>
        <v>1.1222445284646478</v>
      </c>
      <c r="AS185" s="72">
        <f t="shared" si="16"/>
        <v>0.57590337720336282</v>
      </c>
      <c r="AT185" s="52">
        <f>IF(head!F$82="S235",235,IF(head!F$82="S275",275,IF(head!F$82="S355",355,IF(head!F$82="S420",420,460))))*AS185*J185/1000</f>
        <v>3162.4512894113082</v>
      </c>
      <c r="AU185" s="192" t="s">
        <v>47</v>
      </c>
      <c r="AV185" s="75" t="s">
        <v>47</v>
      </c>
      <c r="AW185" s="75" t="s">
        <v>47</v>
      </c>
      <c r="AX185" s="76" t="s">
        <v>47</v>
      </c>
      <c r="AY185" s="67" t="s">
        <v>47</v>
      </c>
      <c r="AZ185" s="193">
        <v>0</v>
      </c>
      <c r="BA185" s="169" t="str">
        <f t="shared" si="17"/>
        <v>CF CHS 406,4 x 14,2</v>
      </c>
      <c r="BB185" s="145"/>
    </row>
    <row r="186" spans="1:54" s="146" customFormat="1" ht="13.5" customHeight="1">
      <c r="A186" s="147" t="s">
        <v>470</v>
      </c>
      <c r="B186" s="62">
        <f t="shared" si="18"/>
        <v>3562.3366094496346</v>
      </c>
      <c r="C186" s="149">
        <v>406.4</v>
      </c>
      <c r="D186" s="149"/>
      <c r="E186" s="150" t="s">
        <v>830</v>
      </c>
      <c r="F186" s="149"/>
      <c r="G186" s="149"/>
      <c r="H186" s="151">
        <v>137.34582524011552</v>
      </c>
      <c r="I186" s="152">
        <v>139.97026776062728</v>
      </c>
      <c r="J186" s="152">
        <v>17496.283470078411</v>
      </c>
      <c r="K186" s="152">
        <v>1.2767432544188919</v>
      </c>
      <c r="L186" s="153">
        <v>336852621.3555603</v>
      </c>
      <c r="M186" s="154">
        <v>1657739.278324608</v>
      </c>
      <c r="N186" s="154">
        <v>2185210.3573333323</v>
      </c>
      <c r="O186" s="155">
        <v>138.75449542267089</v>
      </c>
      <c r="P186" s="154">
        <v>336852621.3555603</v>
      </c>
      <c r="Q186" s="154">
        <v>1657739.278324608</v>
      </c>
      <c r="R186" s="154">
        <v>2185210.3573333323</v>
      </c>
      <c r="S186" s="152">
        <v>138.75449542267089</v>
      </c>
      <c r="T186" s="153">
        <v>673705242.71112061</v>
      </c>
      <c r="U186" s="156"/>
      <c r="V186" s="157">
        <v>1</v>
      </c>
      <c r="W186" s="158">
        <v>1</v>
      </c>
      <c r="X186" s="158">
        <v>1</v>
      </c>
      <c r="Y186" s="158">
        <v>2</v>
      </c>
      <c r="Z186" s="158">
        <v>2</v>
      </c>
      <c r="AA186" s="159">
        <v>1</v>
      </c>
      <c r="AB186" s="158">
        <v>1</v>
      </c>
      <c r="AC186" s="158">
        <v>2</v>
      </c>
      <c r="AD186" s="158">
        <v>3</v>
      </c>
      <c r="AE186" s="160">
        <v>3</v>
      </c>
      <c r="AF186" s="170">
        <v>1</v>
      </c>
      <c r="AG186" s="158">
        <v>1</v>
      </c>
      <c r="AH186" s="158">
        <v>2</v>
      </c>
      <c r="AI186" s="158">
        <v>3</v>
      </c>
      <c r="AJ186" s="158">
        <v>3</v>
      </c>
      <c r="AK186" s="73">
        <f t="shared" ref="AK186:AK194" si="19">K186/J186*1000000</f>
        <v>72.972254742119247</v>
      </c>
      <c r="AL186" s="162"/>
      <c r="AM186" s="163"/>
      <c r="AN186" s="164"/>
      <c r="AO186" s="170" t="s">
        <v>49</v>
      </c>
      <c r="AP186" s="70">
        <f t="shared" si="14"/>
        <v>0.49</v>
      </c>
      <c r="AQ186" s="72">
        <f>IF(head!F$82="S235",235,IF(head!F$82="S275",275,IF(head!F$82="S355",355,IF(head!F$82="S420",420,460))))^0.5*head!$G$70*1000/(S186*3.1416*210000^0.5)</f>
        <v>0.94320605139917535</v>
      </c>
      <c r="AR186" s="72">
        <f t="shared" si="15"/>
        <v>1.1269043102908098</v>
      </c>
      <c r="AS186" s="72">
        <f t="shared" si="16"/>
        <v>0.57353614724494462</v>
      </c>
      <c r="AT186" s="52">
        <f>IF(head!F$82="S235",235,IF(head!F$82="S275",275,IF(head!F$82="S355",355,IF(head!F$82="S420",420,460))))*AS186*J186/1000</f>
        <v>3562.3366094496346</v>
      </c>
      <c r="AU186" s="192" t="s">
        <v>47</v>
      </c>
      <c r="AV186" s="75" t="s">
        <v>47</v>
      </c>
      <c r="AW186" s="75" t="s">
        <v>47</v>
      </c>
      <c r="AX186" s="76" t="s">
        <v>47</v>
      </c>
      <c r="AY186" s="67" t="s">
        <v>47</v>
      </c>
      <c r="AZ186" s="193">
        <v>0</v>
      </c>
      <c r="BA186" s="169" t="str">
        <f t="shared" si="17"/>
        <v>CF CHS 406,4 x 16</v>
      </c>
      <c r="BB186" s="145"/>
    </row>
    <row r="187" spans="1:54" s="146" customFormat="1" ht="13.5" customHeight="1">
      <c r="A187" s="147" t="s">
        <v>471</v>
      </c>
      <c r="B187" s="62">
        <f t="shared" si="18"/>
        <v>3977.9934540484678</v>
      </c>
      <c r="C187" s="149">
        <v>406.4</v>
      </c>
      <c r="D187" s="149"/>
      <c r="E187" s="150" t="s">
        <v>831</v>
      </c>
      <c r="F187" s="149"/>
      <c r="G187" s="149"/>
      <c r="H187" s="151">
        <v>154.04560815835882</v>
      </c>
      <c r="I187" s="152">
        <v>156.9891548110663</v>
      </c>
      <c r="J187" s="152">
        <v>19623.644351383289</v>
      </c>
      <c r="K187" s="152">
        <v>1.2767432544188919</v>
      </c>
      <c r="L187" s="153">
        <v>374488209.45250988</v>
      </c>
      <c r="M187" s="154">
        <v>1842953.7866757377</v>
      </c>
      <c r="N187" s="154">
        <v>2439959.8933333331</v>
      </c>
      <c r="O187" s="155">
        <v>138.14311419683571</v>
      </c>
      <c r="P187" s="154">
        <v>374488209.45250988</v>
      </c>
      <c r="Q187" s="154">
        <v>1842953.7866757377</v>
      </c>
      <c r="R187" s="154">
        <v>2439959.8933333331</v>
      </c>
      <c r="S187" s="152">
        <v>138.14311419683571</v>
      </c>
      <c r="T187" s="153">
        <v>748976418.90501976</v>
      </c>
      <c r="U187" s="156"/>
      <c r="V187" s="157">
        <v>1</v>
      </c>
      <c r="W187" s="158">
        <v>1</v>
      </c>
      <c r="X187" s="158">
        <v>1</v>
      </c>
      <c r="Y187" s="158">
        <v>1</v>
      </c>
      <c r="Z187" s="158">
        <v>1</v>
      </c>
      <c r="AA187" s="159">
        <v>1</v>
      </c>
      <c r="AB187" s="158">
        <v>1</v>
      </c>
      <c r="AC187" s="158">
        <v>2</v>
      </c>
      <c r="AD187" s="158">
        <v>2</v>
      </c>
      <c r="AE187" s="160">
        <v>2</v>
      </c>
      <c r="AF187" s="170">
        <v>1</v>
      </c>
      <c r="AG187" s="158">
        <v>1</v>
      </c>
      <c r="AH187" s="158">
        <v>2</v>
      </c>
      <c r="AI187" s="158">
        <v>2</v>
      </c>
      <c r="AJ187" s="158">
        <v>2</v>
      </c>
      <c r="AK187" s="73">
        <f t="shared" si="19"/>
        <v>65.061475409836049</v>
      </c>
      <c r="AL187" s="162"/>
      <c r="AM187" s="163"/>
      <c r="AN187" s="164"/>
      <c r="AO187" s="170" t="s">
        <v>49</v>
      </c>
      <c r="AP187" s="70">
        <f t="shared" si="14"/>
        <v>0.49</v>
      </c>
      <c r="AQ187" s="72">
        <f>IF(head!F$82="S235",235,IF(head!F$82="S275",275,IF(head!F$82="S355",355,IF(head!F$82="S420",420,460))))^0.5*head!$G$70*1000/(S187*3.1416*210000^0.5)</f>
        <v>0.94738040692367809</v>
      </c>
      <c r="AR187" s="72">
        <f t="shared" si="15"/>
        <v>1.131873017407738</v>
      </c>
      <c r="AS187" s="72">
        <f t="shared" si="16"/>
        <v>0.57102621525684738</v>
      </c>
      <c r="AT187" s="52">
        <f>IF(head!F$82="S235",235,IF(head!F$82="S275",275,IF(head!F$82="S355",355,IF(head!F$82="S420",420,460))))*AS187*J187/1000</f>
        <v>3977.9934540484678</v>
      </c>
      <c r="AU187" s="192" t="s">
        <v>47</v>
      </c>
      <c r="AV187" s="75" t="s">
        <v>47</v>
      </c>
      <c r="AW187" s="75" t="s">
        <v>47</v>
      </c>
      <c r="AX187" s="76" t="s">
        <v>47</v>
      </c>
      <c r="AY187" s="67" t="s">
        <v>47</v>
      </c>
      <c r="AZ187" s="193">
        <v>0</v>
      </c>
      <c r="BA187" s="169" t="str">
        <f t="shared" si="17"/>
        <v>CF CHS 406,4 x 20</v>
      </c>
      <c r="BB187" s="145"/>
    </row>
    <row r="188" spans="1:54" s="146" customFormat="1" ht="13.5" customHeight="1">
      <c r="A188" s="147" t="s">
        <v>472</v>
      </c>
      <c r="B188" s="62">
        <f t="shared" si="18"/>
        <v>4873.3803516557691</v>
      </c>
      <c r="C188" s="149">
        <v>406.4</v>
      </c>
      <c r="D188" s="149"/>
      <c r="E188" s="150" t="s">
        <v>833</v>
      </c>
      <c r="F188" s="149"/>
      <c r="G188" s="149"/>
      <c r="H188" s="151">
        <v>190.58409001149406</v>
      </c>
      <c r="I188" s="152">
        <v>194.22582421553534</v>
      </c>
      <c r="J188" s="152">
        <v>24278.228026941921</v>
      </c>
      <c r="K188" s="152">
        <v>1.2767432544188919</v>
      </c>
      <c r="L188" s="153">
        <v>454321394.45552742</v>
      </c>
      <c r="M188" s="154">
        <v>2235833.6341315326</v>
      </c>
      <c r="N188" s="154">
        <v>2988765.8666666672</v>
      </c>
      <c r="O188" s="155">
        <v>136.79590637149931</v>
      </c>
      <c r="P188" s="154">
        <v>454321394.45552742</v>
      </c>
      <c r="Q188" s="154">
        <v>2235833.6341315326</v>
      </c>
      <c r="R188" s="154">
        <v>2988765.8666666672</v>
      </c>
      <c r="S188" s="152">
        <v>136.79590637149931</v>
      </c>
      <c r="T188" s="153">
        <v>908642788.91105485</v>
      </c>
      <c r="U188" s="156"/>
      <c r="V188" s="157">
        <v>1</v>
      </c>
      <c r="W188" s="158">
        <v>1</v>
      </c>
      <c r="X188" s="158">
        <v>1</v>
      </c>
      <c r="Y188" s="158">
        <v>1</v>
      </c>
      <c r="Z188" s="158">
        <v>1</v>
      </c>
      <c r="AA188" s="159">
        <v>1</v>
      </c>
      <c r="AB188" s="158">
        <v>1</v>
      </c>
      <c r="AC188" s="158">
        <v>1</v>
      </c>
      <c r="AD188" s="158">
        <v>2</v>
      </c>
      <c r="AE188" s="160">
        <v>2</v>
      </c>
      <c r="AF188" s="170">
        <v>1</v>
      </c>
      <c r="AG188" s="158">
        <v>1</v>
      </c>
      <c r="AH188" s="158">
        <v>1</v>
      </c>
      <c r="AI188" s="158">
        <v>2</v>
      </c>
      <c r="AJ188" s="158">
        <v>2</v>
      </c>
      <c r="AK188" s="73">
        <f t="shared" si="19"/>
        <v>52.587991718426501</v>
      </c>
      <c r="AL188" s="162"/>
      <c r="AM188" s="163"/>
      <c r="AN188" s="164"/>
      <c r="AO188" s="170" t="s">
        <v>49</v>
      </c>
      <c r="AP188" s="70">
        <f t="shared" si="14"/>
        <v>0.49</v>
      </c>
      <c r="AQ188" s="72">
        <f>IF(head!F$82="S235",235,IF(head!F$82="S275",275,IF(head!F$82="S355",355,IF(head!F$82="S420",420,460))))^0.5*head!$G$70*1000/(S188*3.1416*210000^0.5)</f>
        <v>0.95671049823731613</v>
      </c>
      <c r="AR188" s="72">
        <f t="shared" si="15"/>
        <v>1.1430415607868891</v>
      </c>
      <c r="AS188" s="72">
        <f t="shared" si="16"/>
        <v>0.5654379702365897</v>
      </c>
      <c r="AT188" s="52">
        <f>IF(head!F$82="S235",235,IF(head!F$82="S275",275,IF(head!F$82="S355",355,IF(head!F$82="S420",420,460))))*AS188*J188/1000</f>
        <v>4873.3803516557691</v>
      </c>
      <c r="AU188" s="192" t="s">
        <v>47</v>
      </c>
      <c r="AV188" s="75" t="s">
        <v>47</v>
      </c>
      <c r="AW188" s="75" t="s">
        <v>47</v>
      </c>
      <c r="AX188" s="76" t="s">
        <v>47</v>
      </c>
      <c r="AY188" s="67" t="s">
        <v>47</v>
      </c>
      <c r="AZ188" s="193">
        <v>0</v>
      </c>
      <c r="BA188" s="169" t="str">
        <f t="shared" si="17"/>
        <v>CF CHS 508 x 5,6</v>
      </c>
      <c r="BB188" s="145"/>
    </row>
    <row r="189" spans="1:54" s="146" customFormat="1" ht="13.5" customHeight="1">
      <c r="A189" s="147" t="s">
        <v>473</v>
      </c>
      <c r="B189" s="62">
        <f t="shared" si="18"/>
        <v>2202.1317736070487</v>
      </c>
      <c r="C189" s="149">
        <v>508</v>
      </c>
      <c r="D189" s="149"/>
      <c r="E189" s="150">
        <v>5.6</v>
      </c>
      <c r="F189" s="149"/>
      <c r="G189" s="149"/>
      <c r="H189" s="151">
        <v>69.38365711722787</v>
      </c>
      <c r="I189" s="152">
        <v>70.709459482525219</v>
      </c>
      <c r="J189" s="152">
        <v>8838.6824353156517</v>
      </c>
      <c r="K189" s="152">
        <v>1.5959290680236149</v>
      </c>
      <c r="L189" s="153">
        <v>278901442.32070857</v>
      </c>
      <c r="M189" s="154">
        <v>1098037.1744909785</v>
      </c>
      <c r="N189" s="154">
        <v>1413530.7946666654</v>
      </c>
      <c r="O189" s="155">
        <v>177.63625756021767</v>
      </c>
      <c r="P189" s="154">
        <v>278901442.32070857</v>
      </c>
      <c r="Q189" s="154">
        <v>1098037.1744909785</v>
      </c>
      <c r="R189" s="154">
        <v>1413530.7946666654</v>
      </c>
      <c r="S189" s="152">
        <v>177.63625756021767</v>
      </c>
      <c r="T189" s="153">
        <v>557802884.64141715</v>
      </c>
      <c r="U189" s="156"/>
      <c r="V189" s="157">
        <v>4</v>
      </c>
      <c r="W189" s="158">
        <v>4</v>
      </c>
      <c r="X189" s="158">
        <v>4</v>
      </c>
      <c r="Y189" s="158">
        <v>4</v>
      </c>
      <c r="Z189" s="158">
        <v>4</v>
      </c>
      <c r="AA189" s="159">
        <v>4</v>
      </c>
      <c r="AB189" s="158">
        <v>4</v>
      </c>
      <c r="AC189" s="158">
        <v>4</v>
      </c>
      <c r="AD189" s="158">
        <v>4</v>
      </c>
      <c r="AE189" s="160">
        <v>4</v>
      </c>
      <c r="AF189" s="170">
        <v>4</v>
      </c>
      <c r="AG189" s="158">
        <v>4</v>
      </c>
      <c r="AH189" s="158">
        <v>4</v>
      </c>
      <c r="AI189" s="158">
        <v>4</v>
      </c>
      <c r="AJ189" s="158">
        <v>4</v>
      </c>
      <c r="AK189" s="73">
        <f t="shared" si="19"/>
        <v>180.5618744313015</v>
      </c>
      <c r="AL189" s="162"/>
      <c r="AM189" s="163"/>
      <c r="AN189" s="164"/>
      <c r="AO189" s="170" t="s">
        <v>49</v>
      </c>
      <c r="AP189" s="70">
        <f t="shared" si="14"/>
        <v>0.49</v>
      </c>
      <c r="AQ189" s="72">
        <f>IF(head!F$82="S235",235,IF(head!F$82="S275",275,IF(head!F$82="S355",355,IF(head!F$82="S420",420,460))))^0.5*head!$G$70*1000/(S189*3.1416*210000^0.5)</f>
        <v>0.73675319182592436</v>
      </c>
      <c r="AR189" s="72">
        <f t="shared" si="15"/>
        <v>0.90290716483019517</v>
      </c>
      <c r="AS189" s="72">
        <f t="shared" si="16"/>
        <v>0.70182271396949569</v>
      </c>
      <c r="AT189" s="52">
        <f>IF(head!F$82="S235",235,IF(head!F$82="S275",275,IF(head!F$82="S355",355,IF(head!F$82="S420",420,460))))*AS189*J189/1000</f>
        <v>2202.1317736070487</v>
      </c>
      <c r="AU189" s="192" t="s">
        <v>47</v>
      </c>
      <c r="AV189" s="75" t="s">
        <v>47</v>
      </c>
      <c r="AW189" s="75" t="s">
        <v>47</v>
      </c>
      <c r="AX189" s="76" t="s">
        <v>47</v>
      </c>
      <c r="AY189" s="67" t="s">
        <v>47</v>
      </c>
      <c r="AZ189" s="193">
        <v>0</v>
      </c>
      <c r="BA189" s="169" t="str">
        <f t="shared" si="17"/>
        <v>CF CHS 508 x 10</v>
      </c>
      <c r="BB189" s="145"/>
    </row>
    <row r="190" spans="1:54" s="146" customFormat="1" ht="13.5" customHeight="1">
      <c r="A190" s="147" t="s">
        <v>474</v>
      </c>
      <c r="B190" s="62">
        <f t="shared" si="18"/>
        <v>3875.6955866115482</v>
      </c>
      <c r="C190" s="149">
        <v>508</v>
      </c>
      <c r="D190" s="149"/>
      <c r="E190" s="150">
        <v>10</v>
      </c>
      <c r="F190" s="149"/>
      <c r="G190" s="149"/>
      <c r="H190" s="151">
        <v>122.81428160678577</v>
      </c>
      <c r="I190" s="152">
        <v>125.16105131901735</v>
      </c>
      <c r="J190" s="152">
        <v>15645.131414877169</v>
      </c>
      <c r="K190" s="152">
        <v>1.5959290680236149</v>
      </c>
      <c r="L190" s="153">
        <v>485202460.56958568</v>
      </c>
      <c r="M190" s="154">
        <v>1910245.9077542743</v>
      </c>
      <c r="N190" s="154">
        <v>2480373.3333333335</v>
      </c>
      <c r="O190" s="155">
        <v>176.10508226624239</v>
      </c>
      <c r="P190" s="154">
        <v>485202460.56958568</v>
      </c>
      <c r="Q190" s="154">
        <v>1910245.9077542743</v>
      </c>
      <c r="R190" s="154">
        <v>2480373.3333333335</v>
      </c>
      <c r="S190" s="152">
        <v>176.10508226624239</v>
      </c>
      <c r="T190" s="153">
        <v>970404921.13917136</v>
      </c>
      <c r="U190" s="156"/>
      <c r="V190" s="157">
        <v>2</v>
      </c>
      <c r="W190" s="158">
        <v>2</v>
      </c>
      <c r="X190" s="158">
        <v>3</v>
      </c>
      <c r="Y190" s="158">
        <v>4</v>
      </c>
      <c r="Z190" s="158">
        <v>4</v>
      </c>
      <c r="AA190" s="159">
        <v>3</v>
      </c>
      <c r="AB190" s="158">
        <v>3</v>
      </c>
      <c r="AC190" s="158">
        <v>4</v>
      </c>
      <c r="AD190" s="158">
        <v>4</v>
      </c>
      <c r="AE190" s="160">
        <v>4</v>
      </c>
      <c r="AF190" s="170">
        <v>3</v>
      </c>
      <c r="AG190" s="158">
        <v>3</v>
      </c>
      <c r="AH190" s="158">
        <v>4</v>
      </c>
      <c r="AI190" s="158">
        <v>4</v>
      </c>
      <c r="AJ190" s="158">
        <v>4</v>
      </c>
      <c r="AK190" s="73">
        <f t="shared" si="19"/>
        <v>102.00803212851406</v>
      </c>
      <c r="AL190" s="162"/>
      <c r="AM190" s="163"/>
      <c r="AN190" s="164"/>
      <c r="AO190" s="170" t="s">
        <v>49</v>
      </c>
      <c r="AP190" s="70">
        <f t="shared" si="14"/>
        <v>0.49</v>
      </c>
      <c r="AQ190" s="72">
        <f>IF(head!F$82="S235",235,IF(head!F$82="S275",275,IF(head!F$82="S355",355,IF(head!F$82="S420",420,460))))^0.5*head!$G$70*1000/(S190*3.1416*210000^0.5)</f>
        <v>0.7431590165219758</v>
      </c>
      <c r="AR190" s="72">
        <f t="shared" si="15"/>
        <v>0.90921662096683908</v>
      </c>
      <c r="AS190" s="72">
        <f t="shared" si="16"/>
        <v>0.6978178749122359</v>
      </c>
      <c r="AT190" s="52">
        <f>IF(head!F$82="S235",235,IF(head!F$82="S275",275,IF(head!F$82="S355",355,IF(head!F$82="S420",420,460))))*AS190*J190/1000</f>
        <v>3875.6955866115482</v>
      </c>
      <c r="AU190" s="192" t="s">
        <v>47</v>
      </c>
      <c r="AV190" s="75" t="s">
        <v>47</v>
      </c>
      <c r="AW190" s="75" t="s">
        <v>47</v>
      </c>
      <c r="AX190" s="76" t="s">
        <v>47</v>
      </c>
      <c r="AY190" s="67" t="s">
        <v>47</v>
      </c>
      <c r="AZ190" s="193">
        <v>0</v>
      </c>
      <c r="BA190" s="169" t="str">
        <f t="shared" si="17"/>
        <v>CF CHS 508 x 12,5</v>
      </c>
      <c r="BB190" s="145"/>
    </row>
    <row r="191" spans="1:54" s="146" customFormat="1" ht="13.5" customHeight="1">
      <c r="A191" s="147" t="s">
        <v>475</v>
      </c>
      <c r="B191" s="62">
        <f t="shared" si="18"/>
        <v>4804.4683596944151</v>
      </c>
      <c r="C191" s="149">
        <v>508</v>
      </c>
      <c r="D191" s="149"/>
      <c r="E191" s="150" t="s">
        <v>829</v>
      </c>
      <c r="F191" s="149"/>
      <c r="G191" s="149"/>
      <c r="H191" s="151">
        <v>152.74718006064847</v>
      </c>
      <c r="I191" s="152">
        <v>155.66591598537426</v>
      </c>
      <c r="J191" s="152">
        <v>19458.239498171781</v>
      </c>
      <c r="K191" s="152">
        <v>1.5959290680236149</v>
      </c>
      <c r="L191" s="153">
        <v>597554022.00907493</v>
      </c>
      <c r="M191" s="154">
        <v>2352574.8897995078</v>
      </c>
      <c r="N191" s="154">
        <v>3069654.1666666665</v>
      </c>
      <c r="O191" s="155">
        <v>175.24144058983308</v>
      </c>
      <c r="P191" s="154">
        <v>597554022.00907493</v>
      </c>
      <c r="Q191" s="154">
        <v>2352574.8897995078</v>
      </c>
      <c r="R191" s="154">
        <v>3069654.1666666665</v>
      </c>
      <c r="S191" s="152">
        <v>175.24144058983308</v>
      </c>
      <c r="T191" s="153">
        <v>1195108044.0181499</v>
      </c>
      <c r="U191" s="156"/>
      <c r="V191" s="157">
        <v>1</v>
      </c>
      <c r="W191" s="158">
        <v>1</v>
      </c>
      <c r="X191" s="158">
        <v>2</v>
      </c>
      <c r="Y191" s="158">
        <v>3</v>
      </c>
      <c r="Z191" s="158">
        <v>3</v>
      </c>
      <c r="AA191" s="159">
        <v>2</v>
      </c>
      <c r="AB191" s="158">
        <v>2</v>
      </c>
      <c r="AC191" s="158">
        <v>3</v>
      </c>
      <c r="AD191" s="158">
        <v>4</v>
      </c>
      <c r="AE191" s="160">
        <v>4</v>
      </c>
      <c r="AF191" s="170">
        <v>2</v>
      </c>
      <c r="AG191" s="158">
        <v>2</v>
      </c>
      <c r="AH191" s="158">
        <v>3</v>
      </c>
      <c r="AI191" s="158">
        <v>4</v>
      </c>
      <c r="AJ191" s="158">
        <v>4</v>
      </c>
      <c r="AK191" s="73">
        <f t="shared" si="19"/>
        <v>82.018163471241166</v>
      </c>
      <c r="AL191" s="162"/>
      <c r="AM191" s="163"/>
      <c r="AN191" s="164"/>
      <c r="AO191" s="170" t="s">
        <v>49</v>
      </c>
      <c r="AP191" s="70">
        <f t="shared" si="14"/>
        <v>0.49</v>
      </c>
      <c r="AQ191" s="72">
        <f>IF(head!F$82="S235",235,IF(head!F$82="S275",275,IF(head!F$82="S355",355,IF(head!F$82="S420",420,460))))^0.5*head!$G$70*1000/(S191*3.1416*210000^0.5)</f>
        <v>0.74682152406989066</v>
      </c>
      <c r="AR191" s="72">
        <f t="shared" si="15"/>
        <v>0.91284246780416034</v>
      </c>
      <c r="AS191" s="72">
        <f t="shared" si="16"/>
        <v>0.69552611327204683</v>
      </c>
      <c r="AT191" s="52">
        <f>IF(head!F$82="S235",235,IF(head!F$82="S275",275,IF(head!F$82="S355",355,IF(head!F$82="S420",420,460))))*AS191*J191/1000</f>
        <v>4804.4683596944151</v>
      </c>
      <c r="AU191" s="192" t="s">
        <v>47</v>
      </c>
      <c r="AV191" s="75" t="s">
        <v>47</v>
      </c>
      <c r="AW191" s="75" t="s">
        <v>47</v>
      </c>
      <c r="AX191" s="76" t="s">
        <v>47</v>
      </c>
      <c r="AY191" s="67" t="s">
        <v>47</v>
      </c>
      <c r="AZ191" s="193">
        <v>0</v>
      </c>
      <c r="BA191" s="169" t="str">
        <f t="shared" si="17"/>
        <v>CF CHS 508 x 14,2</v>
      </c>
      <c r="BB191" s="145"/>
    </row>
    <row r="192" spans="1:54" s="146" customFormat="1" ht="13.5" customHeight="1">
      <c r="A192" s="147" t="s">
        <v>476</v>
      </c>
      <c r="B192" s="62">
        <f t="shared" si="18"/>
        <v>5426.9125668316155</v>
      </c>
      <c r="C192" s="149">
        <v>508</v>
      </c>
      <c r="D192" s="149"/>
      <c r="E192" s="150" t="s">
        <v>830</v>
      </c>
      <c r="F192" s="149"/>
      <c r="G192" s="149"/>
      <c r="H192" s="151">
        <v>172.92546788263385</v>
      </c>
      <c r="I192" s="152">
        <v>176.22977618612367</v>
      </c>
      <c r="J192" s="152">
        <v>22028.722023265462</v>
      </c>
      <c r="K192" s="152">
        <v>1.5959290680236149</v>
      </c>
      <c r="L192" s="153">
        <v>671986385.60693324</v>
      </c>
      <c r="M192" s="154">
        <v>2645615.6913658786</v>
      </c>
      <c r="N192" s="154">
        <v>3463460.277333329</v>
      </c>
      <c r="O192" s="155">
        <v>174.65683496502507</v>
      </c>
      <c r="P192" s="154">
        <v>671986385.60693324</v>
      </c>
      <c r="Q192" s="154">
        <v>2645615.6913658786</v>
      </c>
      <c r="R192" s="154">
        <v>3463460.277333329</v>
      </c>
      <c r="S192" s="152">
        <v>174.65683496502507</v>
      </c>
      <c r="T192" s="153">
        <v>1343972771.2138665</v>
      </c>
      <c r="U192" s="156"/>
      <c r="V192" s="157">
        <v>1</v>
      </c>
      <c r="W192" s="158">
        <v>1</v>
      </c>
      <c r="X192" s="158">
        <v>2</v>
      </c>
      <c r="Y192" s="158">
        <v>2</v>
      </c>
      <c r="Z192" s="158">
        <v>3</v>
      </c>
      <c r="AA192" s="159">
        <v>1</v>
      </c>
      <c r="AB192" s="158">
        <v>2</v>
      </c>
      <c r="AC192" s="158">
        <v>3</v>
      </c>
      <c r="AD192" s="158">
        <v>3</v>
      </c>
      <c r="AE192" s="160">
        <v>4</v>
      </c>
      <c r="AF192" s="170">
        <v>1</v>
      </c>
      <c r="AG192" s="158">
        <v>2</v>
      </c>
      <c r="AH192" s="158">
        <v>3</v>
      </c>
      <c r="AI192" s="158">
        <v>3</v>
      </c>
      <c r="AJ192" s="158">
        <v>4</v>
      </c>
      <c r="AK192" s="73">
        <f t="shared" si="19"/>
        <v>72.447646592393653</v>
      </c>
      <c r="AL192" s="162"/>
      <c r="AM192" s="163"/>
      <c r="AN192" s="164"/>
      <c r="AO192" s="170" t="s">
        <v>49</v>
      </c>
      <c r="AP192" s="70">
        <f t="shared" si="14"/>
        <v>0.49</v>
      </c>
      <c r="AQ192" s="72">
        <f>IF(head!F$82="S235",235,IF(head!F$82="S275",275,IF(head!F$82="S355",355,IF(head!F$82="S420",420,460))))^0.5*head!$G$70*1000/(S192*3.1416*210000^0.5)</f>
        <v>0.74932126056051473</v>
      </c>
      <c r="AR192" s="72">
        <f t="shared" si="15"/>
        <v>0.91532488460132555</v>
      </c>
      <c r="AS192" s="72">
        <f t="shared" si="16"/>
        <v>0.69396116746588743</v>
      </c>
      <c r="AT192" s="52">
        <f>IF(head!F$82="S235",235,IF(head!F$82="S275",275,IF(head!F$82="S355",355,IF(head!F$82="S420",420,460))))*AS192*J192/1000</f>
        <v>5426.9125668316155</v>
      </c>
      <c r="AU192" s="192" t="s">
        <v>47</v>
      </c>
      <c r="AV192" s="75" t="s">
        <v>47</v>
      </c>
      <c r="AW192" s="75" t="s">
        <v>47</v>
      </c>
      <c r="AX192" s="76" t="s">
        <v>47</v>
      </c>
      <c r="AY192" s="67" t="s">
        <v>47</v>
      </c>
      <c r="AZ192" s="193">
        <v>0</v>
      </c>
      <c r="BA192" s="169" t="str">
        <f t="shared" si="17"/>
        <v>CF CHS 508 x 16</v>
      </c>
      <c r="BB192" s="145"/>
    </row>
    <row r="193" spans="1:54" s="146" customFormat="1" ht="13.5" customHeight="1">
      <c r="A193" s="147" t="s">
        <v>477</v>
      </c>
      <c r="B193" s="62">
        <f t="shared" si="18"/>
        <v>6077.9442266287379</v>
      </c>
      <c r="C193" s="149">
        <v>508</v>
      </c>
      <c r="D193" s="149"/>
      <c r="E193" s="150" t="s">
        <v>831</v>
      </c>
      <c r="F193" s="149"/>
      <c r="G193" s="149"/>
      <c r="H193" s="151">
        <v>194.13534634711195</v>
      </c>
      <c r="I193" s="152">
        <v>197.84493895247078</v>
      </c>
      <c r="J193" s="152">
        <v>24730.617369058851</v>
      </c>
      <c r="K193" s="152">
        <v>1.5959290680236149</v>
      </c>
      <c r="L193" s="153">
        <v>749090400.10879266</v>
      </c>
      <c r="M193" s="154">
        <v>2949174.8035779237</v>
      </c>
      <c r="N193" s="154">
        <v>3874389.3333333335</v>
      </c>
      <c r="O193" s="155">
        <v>174.0402252354323</v>
      </c>
      <c r="P193" s="154">
        <v>749090400.10879266</v>
      </c>
      <c r="Q193" s="154">
        <v>2949174.8035779237</v>
      </c>
      <c r="R193" s="154">
        <v>3874389.3333333335</v>
      </c>
      <c r="S193" s="152">
        <v>174.0402252354323</v>
      </c>
      <c r="T193" s="153">
        <v>1498180800.2175853</v>
      </c>
      <c r="U193" s="156"/>
      <c r="V193" s="157">
        <v>1</v>
      </c>
      <c r="W193" s="158">
        <v>1</v>
      </c>
      <c r="X193" s="158">
        <v>1</v>
      </c>
      <c r="Y193" s="158">
        <v>2</v>
      </c>
      <c r="Z193" s="158">
        <v>2</v>
      </c>
      <c r="AA193" s="159">
        <v>1</v>
      </c>
      <c r="AB193" s="158">
        <v>2</v>
      </c>
      <c r="AC193" s="158">
        <v>2</v>
      </c>
      <c r="AD193" s="158">
        <v>3</v>
      </c>
      <c r="AE193" s="160">
        <v>3</v>
      </c>
      <c r="AF193" s="170">
        <v>1</v>
      </c>
      <c r="AG193" s="158">
        <v>2</v>
      </c>
      <c r="AH193" s="158">
        <v>2</v>
      </c>
      <c r="AI193" s="158">
        <v>3</v>
      </c>
      <c r="AJ193" s="158">
        <v>3</v>
      </c>
      <c r="AK193" s="73">
        <f t="shared" si="19"/>
        <v>64.532520325203251</v>
      </c>
      <c r="AL193" s="162"/>
      <c r="AM193" s="163"/>
      <c r="AN193" s="164"/>
      <c r="AO193" s="170" t="s">
        <v>49</v>
      </c>
      <c r="AP193" s="70">
        <f t="shared" si="14"/>
        <v>0.49</v>
      </c>
      <c r="AQ193" s="72">
        <f>IF(head!F$82="S235",235,IF(head!F$82="S275",275,IF(head!F$82="S355",355,IF(head!F$82="S420",420,460))))^0.5*head!$G$70*1000/(S193*3.1416*210000^0.5)</f>
        <v>0.75197604211591262</v>
      </c>
      <c r="AR193" s="72">
        <f t="shared" si="15"/>
        <v>0.917968114276555</v>
      </c>
      <c r="AS193" s="72">
        <f t="shared" si="16"/>
        <v>0.69229851390187402</v>
      </c>
      <c r="AT193" s="52">
        <f>IF(head!F$82="S235",235,IF(head!F$82="S275",275,IF(head!F$82="S355",355,IF(head!F$82="S420",420,460))))*AS193*J193/1000</f>
        <v>6077.9442266287379</v>
      </c>
      <c r="AU193" s="192" t="s">
        <v>47</v>
      </c>
      <c r="AV193" s="75" t="s">
        <v>47</v>
      </c>
      <c r="AW193" s="75" t="s">
        <v>47</v>
      </c>
      <c r="AX193" s="76" t="s">
        <v>47</v>
      </c>
      <c r="AY193" s="67" t="s">
        <v>47</v>
      </c>
      <c r="AZ193" s="193">
        <v>0</v>
      </c>
      <c r="BA193" s="169" t="str">
        <f t="shared" si="17"/>
        <v>CF CHS 508 x 20</v>
      </c>
      <c r="BB193" s="145"/>
    </row>
    <row r="194" spans="1:54" s="146" customFormat="1" ht="13.5" customHeight="1">
      <c r="A194" s="147" t="s">
        <v>478</v>
      </c>
      <c r="B194" s="62">
        <f t="shared" si="18"/>
        <v>7495.2249109722025</v>
      </c>
      <c r="C194" s="149">
        <v>508</v>
      </c>
      <c r="D194" s="149"/>
      <c r="E194" s="150" t="s">
        <v>833</v>
      </c>
      <c r="F194" s="149"/>
      <c r="G194" s="149"/>
      <c r="H194" s="151">
        <v>240.69626274743558</v>
      </c>
      <c r="I194" s="152">
        <v>245.29555439229105</v>
      </c>
      <c r="J194" s="152">
        <v>30661.944299036382</v>
      </c>
      <c r="K194" s="152">
        <v>1.5959290680236149</v>
      </c>
      <c r="L194" s="153">
        <v>914277855.1086669</v>
      </c>
      <c r="M194" s="154">
        <v>3599519.1146010505</v>
      </c>
      <c r="N194" s="154">
        <v>4765546.666666667</v>
      </c>
      <c r="O194" s="155">
        <v>172.67889274604468</v>
      </c>
      <c r="P194" s="154">
        <v>914277855.1086669</v>
      </c>
      <c r="Q194" s="154">
        <v>3599519.1146010505</v>
      </c>
      <c r="R194" s="154">
        <v>4765546.666666667</v>
      </c>
      <c r="S194" s="152">
        <v>172.67889274604468</v>
      </c>
      <c r="T194" s="153">
        <v>1828555710.2173338</v>
      </c>
      <c r="U194" s="156"/>
      <c r="V194" s="157">
        <v>1</v>
      </c>
      <c r="W194" s="158">
        <v>1</v>
      </c>
      <c r="X194" s="158">
        <v>1</v>
      </c>
      <c r="Y194" s="158">
        <v>1</v>
      </c>
      <c r="Z194" s="158">
        <v>1</v>
      </c>
      <c r="AA194" s="159">
        <v>1</v>
      </c>
      <c r="AB194" s="158">
        <v>1</v>
      </c>
      <c r="AC194" s="158">
        <v>2</v>
      </c>
      <c r="AD194" s="158">
        <v>2</v>
      </c>
      <c r="AE194" s="160">
        <v>2</v>
      </c>
      <c r="AF194" s="170">
        <v>1</v>
      </c>
      <c r="AG194" s="158">
        <v>1</v>
      </c>
      <c r="AH194" s="158">
        <v>2</v>
      </c>
      <c r="AI194" s="158">
        <v>2</v>
      </c>
      <c r="AJ194" s="158">
        <v>2</v>
      </c>
      <c r="AK194" s="73">
        <f t="shared" si="19"/>
        <v>52.049180327868854</v>
      </c>
      <c r="AL194" s="162"/>
      <c r="AM194" s="163"/>
      <c r="AN194" s="164"/>
      <c r="AO194" s="170" t="s">
        <v>49</v>
      </c>
      <c r="AP194" s="70">
        <f t="shared" si="14"/>
        <v>0.49</v>
      </c>
      <c r="AQ194" s="72">
        <f>IF(head!F$82="S235",235,IF(head!F$82="S275",275,IF(head!F$82="S355",355,IF(head!F$82="S420",420,460))))^0.5*head!$G$70*1000/(S194*3.1416*210000^0.5)</f>
        <v>0.75790432553894227</v>
      </c>
      <c r="AR194" s="72">
        <f t="shared" si="15"/>
        <v>0.92389604309236029</v>
      </c>
      <c r="AS194" s="72">
        <f t="shared" si="16"/>
        <v>0.68858352237747467</v>
      </c>
      <c r="AT194" s="52">
        <f>IF(head!F$82="S235",235,IF(head!F$82="S275",275,IF(head!F$82="S355",355,IF(head!F$82="S420",420,460))))*AS194*J194/1000</f>
        <v>7495.2249109722025</v>
      </c>
      <c r="AU194" s="192" t="s">
        <v>47</v>
      </c>
      <c r="AV194" s="75" t="s">
        <v>47</v>
      </c>
      <c r="AW194" s="75" t="s">
        <v>47</v>
      </c>
      <c r="AX194" s="76" t="s">
        <v>47</v>
      </c>
      <c r="AY194" s="67" t="s">
        <v>47</v>
      </c>
      <c r="AZ194" s="193">
        <v>0</v>
      </c>
      <c r="BA194" s="169" t="s">
        <v>153</v>
      </c>
      <c r="BB194" s="145"/>
    </row>
    <row r="195" spans="1:54" s="146" customFormat="1">
      <c r="A195" s="128"/>
      <c r="B195" s="129">
        <v>0</v>
      </c>
      <c r="C195" s="130"/>
      <c r="D195" s="130"/>
      <c r="E195" s="131"/>
      <c r="F195" s="130"/>
      <c r="G195" s="130"/>
      <c r="H195" s="132"/>
      <c r="I195" s="133"/>
      <c r="J195" s="133"/>
      <c r="K195" s="133"/>
      <c r="L195" s="134"/>
      <c r="M195" s="135"/>
      <c r="N195" s="135"/>
      <c r="O195" s="136"/>
      <c r="P195" s="135"/>
      <c r="Q195" s="135"/>
      <c r="R195" s="135"/>
      <c r="S195" s="133"/>
      <c r="T195" s="134"/>
      <c r="U195" s="171"/>
      <c r="V195" s="137"/>
      <c r="W195" s="138"/>
      <c r="X195" s="138"/>
      <c r="Y195" s="138"/>
      <c r="Z195" s="138"/>
      <c r="AA195" s="139"/>
      <c r="AB195" s="138"/>
      <c r="AC195" s="138"/>
      <c r="AD195" s="138"/>
      <c r="AE195" s="138"/>
      <c r="AF195" s="137"/>
      <c r="AG195" s="138"/>
      <c r="AH195" s="138"/>
      <c r="AI195" s="138"/>
      <c r="AJ195" s="138"/>
      <c r="AK195" s="172"/>
      <c r="AM195" s="173"/>
      <c r="AN195" s="174"/>
      <c r="AO195" s="138"/>
      <c r="AP195" s="138"/>
      <c r="AQ195" s="140"/>
      <c r="AR195" s="140"/>
      <c r="AS195" s="140"/>
      <c r="AT195" s="141"/>
      <c r="AU195" s="199" t="s">
        <v>47</v>
      </c>
      <c r="AV195" s="142" t="s">
        <v>47</v>
      </c>
      <c r="AW195" s="142" t="s">
        <v>47</v>
      </c>
      <c r="AX195" s="143" t="s">
        <v>47</v>
      </c>
      <c r="AY195" s="135" t="s">
        <v>47</v>
      </c>
      <c r="AZ195" s="200">
        <v>0</v>
      </c>
      <c r="BA195" s="144" t="str">
        <f>A196</f>
        <v>CF SHS 20 x 2</v>
      </c>
    </row>
    <row r="196" spans="1:54" s="146" customFormat="1">
      <c r="A196" s="128" t="s">
        <v>479</v>
      </c>
      <c r="B196" s="83">
        <f t="shared" si="18"/>
        <v>0.13972652882542502</v>
      </c>
      <c r="C196" s="130">
        <v>20</v>
      </c>
      <c r="D196" s="130">
        <v>20</v>
      </c>
      <c r="E196" s="131">
        <v>2</v>
      </c>
      <c r="F196" s="130"/>
      <c r="G196" s="130"/>
      <c r="H196" s="132">
        <v>1.0495380279681585</v>
      </c>
      <c r="I196" s="133">
        <v>1.0695928947446203</v>
      </c>
      <c r="J196" s="133">
        <v>133.6991118430775</v>
      </c>
      <c r="K196" s="133">
        <v>7.3132741228718351E-2</v>
      </c>
      <c r="L196" s="134">
        <v>6921.6635855661789</v>
      </c>
      <c r="M196" s="135">
        <v>692.16635855661787</v>
      </c>
      <c r="N196" s="135">
        <v>876.86133772513176</v>
      </c>
      <c r="O196" s="136">
        <v>7.1951687261764761</v>
      </c>
      <c r="P196" s="135">
        <v>6921.6635855661789</v>
      </c>
      <c r="Q196" s="135">
        <v>692.16635855661787</v>
      </c>
      <c r="R196" s="135">
        <v>876.86133772513176</v>
      </c>
      <c r="S196" s="133">
        <v>7.1951687261764761</v>
      </c>
      <c r="T196" s="134">
        <v>12179.468176818</v>
      </c>
      <c r="U196" s="171"/>
      <c r="V196" s="137">
        <v>1</v>
      </c>
      <c r="W196" s="138">
        <v>1</v>
      </c>
      <c r="X196" s="138">
        <v>1</v>
      </c>
      <c r="Y196" s="138">
        <v>1</v>
      </c>
      <c r="Z196" s="138">
        <v>1</v>
      </c>
      <c r="AA196" s="139">
        <v>1</v>
      </c>
      <c r="AB196" s="138">
        <v>1</v>
      </c>
      <c r="AC196" s="138">
        <v>1</v>
      </c>
      <c r="AD196" s="138">
        <v>1</v>
      </c>
      <c r="AE196" s="138">
        <v>1</v>
      </c>
      <c r="AF196" s="137">
        <v>1</v>
      </c>
      <c r="AG196" s="138">
        <v>1</v>
      </c>
      <c r="AH196" s="138">
        <v>1</v>
      </c>
      <c r="AI196" s="138">
        <v>1</v>
      </c>
      <c r="AJ196" s="138">
        <v>1</v>
      </c>
      <c r="AK196" s="93">
        <f>K196/J196*1000000</f>
        <v>546.99496668724441</v>
      </c>
      <c r="AM196" s="173"/>
      <c r="AN196" s="174"/>
      <c r="AO196" s="138" t="s">
        <v>49</v>
      </c>
      <c r="AP196" s="138">
        <f t="shared" si="14"/>
        <v>0.49</v>
      </c>
      <c r="AQ196" s="140">
        <f>IF(head!F$82="S235",235,IF(head!F$82="S275",275,IF(head!F$82="S355",355,IF(head!F$82="S420",420,460))))^0.5*head!$G$70*1000/(S196*3.1416*210000^0.5)</f>
        <v>18.18916063293613</v>
      </c>
      <c r="AR196" s="140">
        <f>0.5*(1+AP196*(AQ196-0.2)+AQ196^2)</f>
        <v>170.33012662044607</v>
      </c>
      <c r="AS196" s="140">
        <f>IF(AQ196&lt;=0.2,1,1/(AR196+(AR196^2-AQ196^2)^0.5))</f>
        <v>2.9438928233736562E-3</v>
      </c>
      <c r="AT196" s="141">
        <f>IF(head!F$82="S235",235,IF(head!F$82="S275",275,IF(head!F$82="S355",355,IF(head!F$82="S420",420,460))))*AS196*J196/1000</f>
        <v>0.13972652882542502</v>
      </c>
      <c r="AU196" s="199" t="s">
        <v>47</v>
      </c>
      <c r="AV196" s="142" t="s">
        <v>47</v>
      </c>
      <c r="AW196" s="142" t="s">
        <v>47</v>
      </c>
      <c r="AX196" s="143" t="s">
        <v>47</v>
      </c>
      <c r="AY196" s="135" t="s">
        <v>47</v>
      </c>
      <c r="AZ196" s="200">
        <v>0</v>
      </c>
      <c r="BA196" s="144" t="str">
        <f>A197</f>
        <v>CF SHS 25 x 2</v>
      </c>
    </row>
    <row r="197" spans="1:54" s="146" customFormat="1">
      <c r="A197" s="128" t="s">
        <v>480</v>
      </c>
      <c r="B197" s="83">
        <f t="shared" si="18"/>
        <v>0.29728249132857476</v>
      </c>
      <c r="C197" s="130">
        <v>25</v>
      </c>
      <c r="D197" s="130">
        <v>25</v>
      </c>
      <c r="E197" s="131">
        <v>2</v>
      </c>
      <c r="F197" s="130"/>
      <c r="G197" s="130"/>
      <c r="H197" s="132">
        <v>1.3635380279681584</v>
      </c>
      <c r="I197" s="133">
        <v>1.3895928947446199</v>
      </c>
      <c r="J197" s="133">
        <v>173.6991118430775</v>
      </c>
      <c r="K197" s="133">
        <v>9.3132741228718341E-2</v>
      </c>
      <c r="L197" s="134">
        <v>14834.923056544403</v>
      </c>
      <c r="M197" s="135">
        <v>1186.7938445235523</v>
      </c>
      <c r="N197" s="135">
        <v>1466.1091173328257</v>
      </c>
      <c r="O197" s="136">
        <v>9.2415294145664095</v>
      </c>
      <c r="P197" s="135">
        <v>14834.923056544403</v>
      </c>
      <c r="Q197" s="135">
        <v>1186.7938445235523</v>
      </c>
      <c r="R197" s="135">
        <v>1466.1091173328257</v>
      </c>
      <c r="S197" s="133">
        <v>9.2415294145664095</v>
      </c>
      <c r="T197" s="134">
        <v>25337.888353317099</v>
      </c>
      <c r="U197" s="171"/>
      <c r="V197" s="137">
        <v>1</v>
      </c>
      <c r="W197" s="138">
        <v>1</v>
      </c>
      <c r="X197" s="138">
        <v>1</v>
      </c>
      <c r="Y197" s="138">
        <v>1</v>
      </c>
      <c r="Z197" s="138">
        <v>1</v>
      </c>
      <c r="AA197" s="139">
        <v>1</v>
      </c>
      <c r="AB197" s="138">
        <v>1</v>
      </c>
      <c r="AC197" s="138">
        <v>1</v>
      </c>
      <c r="AD197" s="138">
        <v>1</v>
      </c>
      <c r="AE197" s="138">
        <v>1</v>
      </c>
      <c r="AF197" s="137">
        <v>1</v>
      </c>
      <c r="AG197" s="138">
        <v>1</v>
      </c>
      <c r="AH197" s="138">
        <v>1</v>
      </c>
      <c r="AI197" s="138">
        <v>1</v>
      </c>
      <c r="AJ197" s="138">
        <v>1</v>
      </c>
      <c r="AK197" s="93">
        <f t="shared" ref="AK197:AK260" si="20">K197/J197*1000000</f>
        <v>536.17281194192822</v>
      </c>
      <c r="AM197" s="173"/>
      <c r="AN197" s="174"/>
      <c r="AO197" s="138" t="s">
        <v>49</v>
      </c>
      <c r="AP197" s="138">
        <f t="shared" si="14"/>
        <v>0.49</v>
      </c>
      <c r="AQ197" s="140">
        <f>IF(head!F$82="S235",235,IF(head!F$82="S275",275,IF(head!F$82="S355",355,IF(head!F$82="S420",420,460))))^0.5*head!$G$70*1000/(S197*3.1416*210000^0.5)</f>
        <v>14.161517414554769</v>
      </c>
      <c r="AR197" s="140">
        <f t="shared" ref="AR197:AR260" si="21">0.5*(1+AP197*(AQ197-0.2)+AQ197^2)</f>
        <v>104.19485950793491</v>
      </c>
      <c r="AS197" s="140">
        <f t="shared" ref="AS197:AS260" si="22">IF(AQ197&lt;=0.2,1,1/(AR197+(AR197^2-AQ197^2)^0.5))</f>
        <v>4.8210693747687706E-3</v>
      </c>
      <c r="AT197" s="141">
        <f>IF(head!F$82="S235",235,IF(head!F$82="S275",275,IF(head!F$82="S355",355,IF(head!F$82="S420",420,460))))*AS197*J197/1000</f>
        <v>0.29728249132857476</v>
      </c>
      <c r="AU197" s="199" t="s">
        <v>47</v>
      </c>
      <c r="AV197" s="142" t="s">
        <v>47</v>
      </c>
      <c r="AW197" s="142" t="s">
        <v>47</v>
      </c>
      <c r="AX197" s="143" t="s">
        <v>47</v>
      </c>
      <c r="AY197" s="135" t="s">
        <v>47</v>
      </c>
      <c r="AZ197" s="200">
        <v>0</v>
      </c>
      <c r="BA197" s="144" t="str">
        <f t="shared" ref="BA197:BA260" si="23">A198</f>
        <v>CF SHS 25 x 3</v>
      </c>
    </row>
    <row r="198" spans="1:54" s="146" customFormat="1">
      <c r="A198" s="128" t="s">
        <v>481</v>
      </c>
      <c r="B198" s="83">
        <f t="shared" si="18"/>
        <v>0.36956274365625708</v>
      </c>
      <c r="C198" s="130">
        <v>25</v>
      </c>
      <c r="D198" s="130">
        <v>25</v>
      </c>
      <c r="E198" s="131">
        <v>3</v>
      </c>
      <c r="F198" s="130"/>
      <c r="G198" s="130"/>
      <c r="H198" s="132">
        <v>1.8904605629283566</v>
      </c>
      <c r="I198" s="133">
        <v>1.9265840131753953</v>
      </c>
      <c r="J198" s="133">
        <v>240.82300164692441</v>
      </c>
      <c r="K198" s="133">
        <v>8.9699111843077522E-2</v>
      </c>
      <c r="L198" s="134">
        <v>18409.030588110458</v>
      </c>
      <c r="M198" s="135">
        <v>1472.7224470488366</v>
      </c>
      <c r="N198" s="135">
        <v>1914.8495107050087</v>
      </c>
      <c r="O198" s="136">
        <v>8.743120763390138</v>
      </c>
      <c r="P198" s="135">
        <v>18409.030588110458</v>
      </c>
      <c r="Q198" s="135">
        <v>1472.7224470488366</v>
      </c>
      <c r="R198" s="135">
        <v>1914.8495107050087</v>
      </c>
      <c r="S198" s="133">
        <v>8.743120763390138</v>
      </c>
      <c r="T198" s="134">
        <v>33313.6635904426</v>
      </c>
      <c r="U198" s="171"/>
      <c r="V198" s="137">
        <v>1</v>
      </c>
      <c r="W198" s="138">
        <v>1</v>
      </c>
      <c r="X198" s="138">
        <v>1</v>
      </c>
      <c r="Y198" s="138">
        <v>1</v>
      </c>
      <c r="Z198" s="138">
        <v>1</v>
      </c>
      <c r="AA198" s="139">
        <v>1</v>
      </c>
      <c r="AB198" s="138">
        <v>1</v>
      </c>
      <c r="AC198" s="138">
        <v>1</v>
      </c>
      <c r="AD198" s="138">
        <v>1</v>
      </c>
      <c r="AE198" s="138">
        <v>1</v>
      </c>
      <c r="AF198" s="137">
        <v>1</v>
      </c>
      <c r="AG198" s="138">
        <v>1</v>
      </c>
      <c r="AH198" s="138">
        <v>1</v>
      </c>
      <c r="AI198" s="138">
        <v>1</v>
      </c>
      <c r="AJ198" s="138">
        <v>1</v>
      </c>
      <c r="AK198" s="93">
        <f t="shared" si="20"/>
        <v>372.46903837942875</v>
      </c>
      <c r="AM198" s="173"/>
      <c r="AN198" s="174"/>
      <c r="AO198" s="138" t="s">
        <v>49</v>
      </c>
      <c r="AP198" s="138">
        <f t="shared" ref="AP198:AP261" si="24">IF(AO198="a0",0.13,IF(AO198="a",0.21,IF(AO198="b",0.34,IF(AO198="c",0.49,0.76))))</f>
        <v>0.49</v>
      </c>
      <c r="AQ198" s="140">
        <f>IF(head!F$82="S235",235,IF(head!F$82="S275",275,IF(head!F$82="S355",355,IF(head!F$82="S420",420,460))))^0.5*head!$G$70*1000/(S198*3.1416*210000^0.5)</f>
        <v>14.968806137221423</v>
      </c>
      <c r="AR198" s="140">
        <f t="shared" si="21"/>
        <v>116.15093609047811</v>
      </c>
      <c r="AS198" s="140">
        <f t="shared" si="22"/>
        <v>4.3227673685526128E-3</v>
      </c>
      <c r="AT198" s="141">
        <f>IF(head!F$82="S235",235,IF(head!F$82="S275",275,IF(head!F$82="S355",355,IF(head!F$82="S420",420,460))))*AS198*J198/1000</f>
        <v>0.36956274365625708</v>
      </c>
      <c r="AU198" s="199" t="s">
        <v>47</v>
      </c>
      <c r="AV198" s="142" t="s">
        <v>47</v>
      </c>
      <c r="AW198" s="142" t="s">
        <v>47</v>
      </c>
      <c r="AX198" s="143" t="s">
        <v>47</v>
      </c>
      <c r="AY198" s="135" t="s">
        <v>47</v>
      </c>
      <c r="AZ198" s="200">
        <v>0</v>
      </c>
      <c r="BA198" s="144" t="str">
        <f t="shared" si="23"/>
        <v>CF SHS 30 x 2</v>
      </c>
    </row>
    <row r="199" spans="1:54" s="146" customFormat="1">
      <c r="A199" s="128" t="s">
        <v>482</v>
      </c>
      <c r="B199" s="83">
        <f t="shared" si="18"/>
        <v>0.54150838380585087</v>
      </c>
      <c r="C199" s="130">
        <v>30</v>
      </c>
      <c r="D199" s="130">
        <v>30</v>
      </c>
      <c r="E199" s="131">
        <v>2</v>
      </c>
      <c r="F199" s="130"/>
      <c r="G199" s="130"/>
      <c r="H199" s="132">
        <v>1.6775380279681584</v>
      </c>
      <c r="I199" s="133">
        <v>1.70959289474462</v>
      </c>
      <c r="J199" s="133">
        <v>213.6991118430775</v>
      </c>
      <c r="K199" s="133">
        <v>0.11313274122871834</v>
      </c>
      <c r="L199" s="134">
        <v>27219.4214255611</v>
      </c>
      <c r="M199" s="135">
        <v>1814.6280950374066</v>
      </c>
      <c r="N199" s="135">
        <v>2205.3568969405196</v>
      </c>
      <c r="O199" s="136">
        <v>11.285949073007361</v>
      </c>
      <c r="P199" s="135">
        <v>27219.4214255611</v>
      </c>
      <c r="Q199" s="135">
        <v>1814.6280950374066</v>
      </c>
      <c r="R199" s="135">
        <v>2205.3568969405196</v>
      </c>
      <c r="S199" s="133">
        <v>11.285949073007361</v>
      </c>
      <c r="T199" s="134">
        <v>45541.085487758399</v>
      </c>
      <c r="U199" s="171"/>
      <c r="V199" s="137">
        <v>1</v>
      </c>
      <c r="W199" s="138">
        <v>1</v>
      </c>
      <c r="X199" s="138">
        <v>1</v>
      </c>
      <c r="Y199" s="138">
        <v>1</v>
      </c>
      <c r="Z199" s="138">
        <v>1</v>
      </c>
      <c r="AA199" s="139">
        <v>1</v>
      </c>
      <c r="AB199" s="138">
        <v>1</v>
      </c>
      <c r="AC199" s="138">
        <v>1</v>
      </c>
      <c r="AD199" s="138">
        <v>1</v>
      </c>
      <c r="AE199" s="138">
        <v>1</v>
      </c>
      <c r="AF199" s="137">
        <v>1</v>
      </c>
      <c r="AG199" s="138">
        <v>1</v>
      </c>
      <c r="AH199" s="138">
        <v>1</v>
      </c>
      <c r="AI199" s="138">
        <v>1</v>
      </c>
      <c r="AJ199" s="138">
        <v>1</v>
      </c>
      <c r="AK199" s="93">
        <f t="shared" si="20"/>
        <v>529.40201881509665</v>
      </c>
      <c r="AM199" s="173"/>
      <c r="AN199" s="174"/>
      <c r="AO199" s="138" t="s">
        <v>49</v>
      </c>
      <c r="AP199" s="138">
        <f t="shared" si="24"/>
        <v>0.49</v>
      </c>
      <c r="AQ199" s="140">
        <f>IF(head!F$82="S235",235,IF(head!F$82="S275",275,IF(head!F$82="S355",355,IF(head!F$82="S420",420,460))))^0.5*head!$G$70*1000/(S199*3.1416*210000^0.5)</f>
        <v>11.596196198910228</v>
      </c>
      <c r="AR199" s="140">
        <f t="shared" si="21"/>
        <v>70.527951210543009</v>
      </c>
      <c r="AS199" s="140">
        <f t="shared" si="22"/>
        <v>7.1379600779561134E-3</v>
      </c>
      <c r="AT199" s="141">
        <f>IF(head!F$82="S235",235,IF(head!F$82="S275",275,IF(head!F$82="S355",355,IF(head!F$82="S420",420,460))))*AS199*J199/1000</f>
        <v>0.54150838380585087</v>
      </c>
      <c r="AU199" s="199" t="s">
        <v>47</v>
      </c>
      <c r="AV199" s="142" t="s">
        <v>47</v>
      </c>
      <c r="AW199" s="142" t="s">
        <v>47</v>
      </c>
      <c r="AX199" s="143" t="s">
        <v>47</v>
      </c>
      <c r="AY199" s="135" t="s">
        <v>47</v>
      </c>
      <c r="AZ199" s="200">
        <v>0</v>
      </c>
      <c r="BA199" s="144" t="str">
        <f t="shared" si="23"/>
        <v>CF SHS 30 x 3</v>
      </c>
    </row>
    <row r="200" spans="1:54" s="146" customFormat="1">
      <c r="A200" s="128" t="s">
        <v>483</v>
      </c>
      <c r="B200" s="83">
        <f t="shared" si="18"/>
        <v>0.6983315591368231</v>
      </c>
      <c r="C200" s="130">
        <v>30</v>
      </c>
      <c r="D200" s="130">
        <v>30</v>
      </c>
      <c r="E200" s="131">
        <v>3</v>
      </c>
      <c r="F200" s="130"/>
      <c r="G200" s="130"/>
      <c r="H200" s="132">
        <v>2.3614605629283565</v>
      </c>
      <c r="I200" s="133">
        <v>2.4065840131753951</v>
      </c>
      <c r="J200" s="133">
        <v>300.82300164692441</v>
      </c>
      <c r="K200" s="133">
        <v>0.10969911184307751</v>
      </c>
      <c r="L200" s="134">
        <v>35040.921901928778</v>
      </c>
      <c r="M200" s="135">
        <v>2336.0614601285856</v>
      </c>
      <c r="N200" s="135">
        <v>2959.40701482232</v>
      </c>
      <c r="O200" s="136">
        <v>10.792753089264714</v>
      </c>
      <c r="P200" s="135">
        <v>35040.921901928778</v>
      </c>
      <c r="Q200" s="135">
        <v>2336.0614601285856</v>
      </c>
      <c r="R200" s="135">
        <v>2959.40701482232</v>
      </c>
      <c r="S200" s="133">
        <v>10.792753089264714</v>
      </c>
      <c r="T200" s="134">
        <v>61658.554777748199</v>
      </c>
      <c r="U200" s="171"/>
      <c r="V200" s="137">
        <v>1</v>
      </c>
      <c r="W200" s="138">
        <v>1</v>
      </c>
      <c r="X200" s="138">
        <v>1</v>
      </c>
      <c r="Y200" s="138">
        <v>1</v>
      </c>
      <c r="Z200" s="138">
        <v>1</v>
      </c>
      <c r="AA200" s="139">
        <v>1</v>
      </c>
      <c r="AB200" s="138">
        <v>1</v>
      </c>
      <c r="AC200" s="138">
        <v>1</v>
      </c>
      <c r="AD200" s="138">
        <v>1</v>
      </c>
      <c r="AE200" s="138">
        <v>1</v>
      </c>
      <c r="AF200" s="137">
        <v>1</v>
      </c>
      <c r="AG200" s="138">
        <v>1</v>
      </c>
      <c r="AH200" s="138">
        <v>1</v>
      </c>
      <c r="AI200" s="138">
        <v>1</v>
      </c>
      <c r="AJ200" s="138">
        <v>1</v>
      </c>
      <c r="AK200" s="93">
        <f t="shared" si="20"/>
        <v>364.66331112482953</v>
      </c>
      <c r="AM200" s="173"/>
      <c r="AN200" s="174"/>
      <c r="AO200" s="138" t="s">
        <v>49</v>
      </c>
      <c r="AP200" s="138">
        <f t="shared" si="24"/>
        <v>0.49</v>
      </c>
      <c r="AQ200" s="140">
        <f>IF(head!F$82="S235",235,IF(head!F$82="S275",275,IF(head!F$82="S355",355,IF(head!F$82="S420",420,460))))^0.5*head!$G$70*1000/(S200*3.1416*210000^0.5)</f>
        <v>12.126107088624085</v>
      </c>
      <c r="AR200" s="140">
        <f t="shared" si="21"/>
        <v>76.943132799102543</v>
      </c>
      <c r="AS200" s="140">
        <f t="shared" si="22"/>
        <v>6.5391646972757511E-3</v>
      </c>
      <c r="AT200" s="141">
        <f>IF(head!F$82="S235",235,IF(head!F$82="S275",275,IF(head!F$82="S355",355,IF(head!F$82="S420",420,460))))*AS200*J200/1000</f>
        <v>0.6983315591368231</v>
      </c>
      <c r="AU200" s="199" t="s">
        <v>47</v>
      </c>
      <c r="AV200" s="142" t="s">
        <v>47</v>
      </c>
      <c r="AW200" s="142" t="s">
        <v>47</v>
      </c>
      <c r="AX200" s="143" t="s">
        <v>47</v>
      </c>
      <c r="AY200" s="135" t="s">
        <v>47</v>
      </c>
      <c r="AZ200" s="200">
        <v>0</v>
      </c>
      <c r="BA200" s="144" t="str">
        <f t="shared" si="23"/>
        <v>CF SHS 30 x 4</v>
      </c>
    </row>
    <row r="201" spans="1:54" s="146" customFormat="1">
      <c r="A201" s="128" t="s">
        <v>484</v>
      </c>
      <c r="B201" s="83">
        <f t="shared" si="18"/>
        <v>0.79208761019507712</v>
      </c>
      <c r="C201" s="130">
        <v>30</v>
      </c>
      <c r="D201" s="130">
        <v>30</v>
      </c>
      <c r="E201" s="131">
        <v>4</v>
      </c>
      <c r="F201" s="130"/>
      <c r="G201" s="130"/>
      <c r="H201" s="132">
        <v>2.9421521118726339</v>
      </c>
      <c r="I201" s="133">
        <v>2.9983715789784804</v>
      </c>
      <c r="J201" s="133">
        <v>374.79644737231007</v>
      </c>
      <c r="K201" s="133">
        <v>0.10626548245743669</v>
      </c>
      <c r="L201" s="134">
        <v>39674.288202022733</v>
      </c>
      <c r="M201" s="135">
        <v>2644.9525468015154</v>
      </c>
      <c r="N201" s="135">
        <v>3500.908464939504</v>
      </c>
      <c r="O201" s="136">
        <v>10.288613172450715</v>
      </c>
      <c r="P201" s="135">
        <v>39674.288202022733</v>
      </c>
      <c r="Q201" s="135">
        <v>2644.9525468015154</v>
      </c>
      <c r="R201" s="135">
        <v>3500.908464939504</v>
      </c>
      <c r="S201" s="133">
        <v>10.288613172450715</v>
      </c>
      <c r="T201" s="134">
        <v>73063.029696112601</v>
      </c>
      <c r="U201" s="171"/>
      <c r="V201" s="137">
        <v>1</v>
      </c>
      <c r="W201" s="138">
        <v>1</v>
      </c>
      <c r="X201" s="138">
        <v>1</v>
      </c>
      <c r="Y201" s="138">
        <v>1</v>
      </c>
      <c r="Z201" s="138">
        <v>1</v>
      </c>
      <c r="AA201" s="139">
        <v>1</v>
      </c>
      <c r="AB201" s="138">
        <v>1</v>
      </c>
      <c r="AC201" s="138">
        <v>1</v>
      </c>
      <c r="AD201" s="138">
        <v>1</v>
      </c>
      <c r="AE201" s="138">
        <v>1</v>
      </c>
      <c r="AF201" s="137">
        <v>1</v>
      </c>
      <c r="AG201" s="138">
        <v>1</v>
      </c>
      <c r="AH201" s="138">
        <v>1</v>
      </c>
      <c r="AI201" s="138">
        <v>1</v>
      </c>
      <c r="AJ201" s="138">
        <v>1</v>
      </c>
      <c r="AK201" s="93">
        <f t="shared" si="20"/>
        <v>283.52852115451395</v>
      </c>
      <c r="AM201" s="173"/>
      <c r="AN201" s="174"/>
      <c r="AO201" s="138" t="s">
        <v>49</v>
      </c>
      <c r="AP201" s="138">
        <f t="shared" si="24"/>
        <v>0.49</v>
      </c>
      <c r="AQ201" s="140">
        <f>IF(head!F$82="S235",235,IF(head!F$82="S275",275,IF(head!F$82="S355",355,IF(head!F$82="S420",420,460))))^0.5*head!$G$70*1000/(S201*3.1416*210000^0.5)</f>
        <v>12.720283827167014</v>
      </c>
      <c r="AR201" s="140">
        <f t="shared" si="21"/>
        <v>84.470279859499271</v>
      </c>
      <c r="AS201" s="140">
        <f t="shared" si="22"/>
        <v>5.9531853101009629E-3</v>
      </c>
      <c r="AT201" s="141">
        <f>IF(head!F$82="S235",235,IF(head!F$82="S275",275,IF(head!F$82="S355",355,IF(head!F$82="S420",420,460))))*AS201*J201/1000</f>
        <v>0.79208761019507712</v>
      </c>
      <c r="AU201" s="199" t="s">
        <v>47</v>
      </c>
      <c r="AV201" s="142" t="s">
        <v>47</v>
      </c>
      <c r="AW201" s="142" t="s">
        <v>47</v>
      </c>
      <c r="AX201" s="143" t="s">
        <v>47</v>
      </c>
      <c r="AY201" s="135" t="s">
        <v>47</v>
      </c>
      <c r="AZ201" s="200">
        <v>0</v>
      </c>
      <c r="BA201" s="144" t="str">
        <f t="shared" si="23"/>
        <v>CF SHS 35 x 2</v>
      </c>
    </row>
    <row r="202" spans="1:54" s="146" customFormat="1">
      <c r="A202" s="128" t="s">
        <v>485</v>
      </c>
      <c r="B202" s="83">
        <f t="shared" si="18"/>
        <v>0.89028002823647179</v>
      </c>
      <c r="C202" s="130">
        <v>35</v>
      </c>
      <c r="D202" s="130">
        <v>35</v>
      </c>
      <c r="E202" s="131">
        <v>2</v>
      </c>
      <c r="F202" s="130"/>
      <c r="G202" s="130"/>
      <c r="H202" s="132">
        <v>1.9915380279681585</v>
      </c>
      <c r="I202" s="133">
        <v>2.0295928947446202</v>
      </c>
      <c r="J202" s="133">
        <v>253.6991118430775</v>
      </c>
      <c r="K202" s="133">
        <v>0.13313274122871835</v>
      </c>
      <c r="L202" s="134">
        <v>45075.158692616256</v>
      </c>
      <c r="M202" s="135">
        <v>2575.7233538637861</v>
      </c>
      <c r="N202" s="135">
        <v>3094.6046765482133</v>
      </c>
      <c r="O202" s="136">
        <v>13.329355740248351</v>
      </c>
      <c r="P202" s="135">
        <v>45075.158692616256</v>
      </c>
      <c r="Q202" s="135">
        <v>2575.7233538637861</v>
      </c>
      <c r="R202" s="135">
        <v>3094.6046765482133</v>
      </c>
      <c r="S202" s="133">
        <v>13.329355740248351</v>
      </c>
      <c r="T202" s="134">
        <v>74288.836846100399</v>
      </c>
      <c r="U202" s="171"/>
      <c r="V202" s="137">
        <v>1</v>
      </c>
      <c r="W202" s="138">
        <v>1</v>
      </c>
      <c r="X202" s="138">
        <v>1</v>
      </c>
      <c r="Y202" s="138">
        <v>1</v>
      </c>
      <c r="Z202" s="138">
        <v>1</v>
      </c>
      <c r="AA202" s="139">
        <v>1</v>
      </c>
      <c r="AB202" s="138">
        <v>1</v>
      </c>
      <c r="AC202" s="138">
        <v>1</v>
      </c>
      <c r="AD202" s="138">
        <v>1</v>
      </c>
      <c r="AE202" s="138">
        <v>1</v>
      </c>
      <c r="AF202" s="137">
        <v>1</v>
      </c>
      <c r="AG202" s="138">
        <v>1</v>
      </c>
      <c r="AH202" s="138">
        <v>1</v>
      </c>
      <c r="AI202" s="138">
        <v>1</v>
      </c>
      <c r="AJ202" s="138">
        <v>1</v>
      </c>
      <c r="AK202" s="93">
        <f t="shared" si="20"/>
        <v>524.76628814950675</v>
      </c>
      <c r="AM202" s="173"/>
      <c r="AN202" s="174"/>
      <c r="AO202" s="138" t="s">
        <v>49</v>
      </c>
      <c r="AP202" s="138">
        <f t="shared" si="24"/>
        <v>0.49</v>
      </c>
      <c r="AQ202" s="140">
        <f>IF(head!F$82="S235",235,IF(head!F$82="S275",275,IF(head!F$82="S355",355,IF(head!F$82="S420",420,460))))^0.5*head!$G$70*1000/(S202*3.1416*210000^0.5)</f>
        <v>9.8184850259735015</v>
      </c>
      <c r="AR202" s="140">
        <f t="shared" si="21"/>
        <v>51.057852933996443</v>
      </c>
      <c r="AS202" s="140">
        <f t="shared" si="22"/>
        <v>9.8850604845871059E-3</v>
      </c>
      <c r="AT202" s="141">
        <f>IF(head!F$82="S235",235,IF(head!F$82="S275",275,IF(head!F$82="S355",355,IF(head!F$82="S420",420,460))))*AS202*J202/1000</f>
        <v>0.89028002823647179</v>
      </c>
      <c r="AU202" s="199" t="s">
        <v>47</v>
      </c>
      <c r="AV202" s="142" t="s">
        <v>47</v>
      </c>
      <c r="AW202" s="142" t="s">
        <v>47</v>
      </c>
      <c r="AX202" s="143" t="s">
        <v>47</v>
      </c>
      <c r="AY202" s="135" t="s">
        <v>47</v>
      </c>
      <c r="AZ202" s="200">
        <v>0</v>
      </c>
      <c r="BA202" s="144" t="str">
        <f t="shared" si="23"/>
        <v>CF SHS 35 x 3</v>
      </c>
    </row>
    <row r="203" spans="1:54" s="146" customFormat="1">
      <c r="A203" s="128" t="s">
        <v>486</v>
      </c>
      <c r="B203" s="83">
        <f t="shared" si="18"/>
        <v>1.1768832038194041</v>
      </c>
      <c r="C203" s="130">
        <v>35</v>
      </c>
      <c r="D203" s="130">
        <v>35</v>
      </c>
      <c r="E203" s="131">
        <v>3</v>
      </c>
      <c r="F203" s="130"/>
      <c r="G203" s="130"/>
      <c r="H203" s="132">
        <v>2.8324605629283566</v>
      </c>
      <c r="I203" s="133">
        <v>2.886584013175395</v>
      </c>
      <c r="J203" s="133">
        <v>360.82300164692441</v>
      </c>
      <c r="K203" s="133">
        <v>0.1296991118430775</v>
      </c>
      <c r="L203" s="134">
        <v>59483.100736333654</v>
      </c>
      <c r="M203" s="135">
        <v>3399.0343277904944</v>
      </c>
      <c r="N203" s="135">
        <v>4228.9645189396315</v>
      </c>
      <c r="O203" s="136">
        <v>12.839546726988162</v>
      </c>
      <c r="P203" s="135">
        <v>59483.100736333654</v>
      </c>
      <c r="Q203" s="135">
        <v>3399.0343277904944</v>
      </c>
      <c r="R203" s="135">
        <v>4228.9645189396315</v>
      </c>
      <c r="S203" s="133">
        <v>12.839546726988162</v>
      </c>
      <c r="T203" s="134">
        <v>102480.44923698</v>
      </c>
      <c r="U203" s="171"/>
      <c r="V203" s="137">
        <v>1</v>
      </c>
      <c r="W203" s="138">
        <v>1</v>
      </c>
      <c r="X203" s="138">
        <v>1</v>
      </c>
      <c r="Y203" s="138">
        <v>1</v>
      </c>
      <c r="Z203" s="138">
        <v>1</v>
      </c>
      <c r="AA203" s="139">
        <v>1</v>
      </c>
      <c r="AB203" s="138">
        <v>1</v>
      </c>
      <c r="AC203" s="138">
        <v>1</v>
      </c>
      <c r="AD203" s="138">
        <v>1</v>
      </c>
      <c r="AE203" s="138">
        <v>1</v>
      </c>
      <c r="AF203" s="137">
        <v>1</v>
      </c>
      <c r="AG203" s="138">
        <v>1</v>
      </c>
      <c r="AH203" s="138">
        <v>1</v>
      </c>
      <c r="AI203" s="138">
        <v>1</v>
      </c>
      <c r="AJ203" s="138">
        <v>1</v>
      </c>
      <c r="AK203" s="93">
        <f t="shared" si="20"/>
        <v>359.4535582573302</v>
      </c>
      <c r="AM203" s="173"/>
      <c r="AN203" s="174"/>
      <c r="AO203" s="138" t="s">
        <v>49</v>
      </c>
      <c r="AP203" s="138">
        <f t="shared" si="24"/>
        <v>0.49</v>
      </c>
      <c r="AQ203" s="140">
        <f>IF(head!F$82="S235",235,IF(head!F$82="S275",275,IF(head!F$82="S355",355,IF(head!F$82="S420",420,460))))^0.5*head!$G$70*1000/(S203*3.1416*210000^0.5)</f>
        <v>10.193045169297978</v>
      </c>
      <c r="AR203" s="140">
        <f t="shared" si="21"/>
        <v>54.897380978152434</v>
      </c>
      <c r="AS203" s="140">
        <f t="shared" si="22"/>
        <v>9.1877844241893408E-3</v>
      </c>
      <c r="AT203" s="141">
        <f>IF(head!F$82="S235",235,IF(head!F$82="S275",275,IF(head!F$82="S355",355,IF(head!F$82="S420",420,460))))*AS203*J203/1000</f>
        <v>1.1768832038194041</v>
      </c>
      <c r="AU203" s="199" t="s">
        <v>47</v>
      </c>
      <c r="AV203" s="142" t="s">
        <v>47</v>
      </c>
      <c r="AW203" s="142" t="s">
        <v>47</v>
      </c>
      <c r="AX203" s="143" t="s">
        <v>47</v>
      </c>
      <c r="AY203" s="135" t="s">
        <v>47</v>
      </c>
      <c r="AZ203" s="200">
        <v>0</v>
      </c>
      <c r="BA203" s="144" t="str">
        <f t="shared" si="23"/>
        <v>CF SHS 40 x 2</v>
      </c>
    </row>
    <row r="204" spans="1:54" s="146" customFormat="1">
      <c r="A204" s="128" t="s">
        <v>243</v>
      </c>
      <c r="B204" s="83">
        <f t="shared" si="18"/>
        <v>1.3609472443021615</v>
      </c>
      <c r="C204" s="130">
        <v>40</v>
      </c>
      <c r="D204" s="130">
        <v>40</v>
      </c>
      <c r="E204" s="131">
        <v>2</v>
      </c>
      <c r="F204" s="130"/>
      <c r="G204" s="130"/>
      <c r="H204" s="132">
        <v>2.3055380279681583</v>
      </c>
      <c r="I204" s="133">
        <v>2.3495928947446201</v>
      </c>
      <c r="J204" s="133">
        <v>293.6991118430775</v>
      </c>
      <c r="K204" s="133">
        <v>0.15313274122871834</v>
      </c>
      <c r="L204" s="134">
        <v>69402.134857709912</v>
      </c>
      <c r="M204" s="135">
        <v>3470.1067428854958</v>
      </c>
      <c r="N204" s="135">
        <v>4133.852456155907</v>
      </c>
      <c r="O204" s="136">
        <v>15.372167156672438</v>
      </c>
      <c r="P204" s="135">
        <v>69402.134857709912</v>
      </c>
      <c r="Q204" s="135">
        <v>3470.1067428854958</v>
      </c>
      <c r="R204" s="135">
        <v>4133.852456155907</v>
      </c>
      <c r="S204" s="133">
        <v>15.372167156672438</v>
      </c>
      <c r="T204" s="134">
        <v>113081.160406166</v>
      </c>
      <c r="U204" s="171"/>
      <c r="V204" s="137">
        <v>1</v>
      </c>
      <c r="W204" s="138">
        <v>1</v>
      </c>
      <c r="X204" s="138">
        <v>1</v>
      </c>
      <c r="Y204" s="138">
        <v>1</v>
      </c>
      <c r="Z204" s="138">
        <v>1</v>
      </c>
      <c r="AA204" s="139">
        <v>1</v>
      </c>
      <c r="AB204" s="138">
        <v>1</v>
      </c>
      <c r="AC204" s="138">
        <v>1</v>
      </c>
      <c r="AD204" s="138">
        <v>1</v>
      </c>
      <c r="AE204" s="138">
        <v>1</v>
      </c>
      <c r="AF204" s="137">
        <v>1</v>
      </c>
      <c r="AG204" s="138">
        <v>1</v>
      </c>
      <c r="AH204" s="138">
        <v>1</v>
      </c>
      <c r="AI204" s="138">
        <v>1</v>
      </c>
      <c r="AJ204" s="138">
        <v>1</v>
      </c>
      <c r="AK204" s="93">
        <f t="shared" si="20"/>
        <v>521.39327309418854</v>
      </c>
      <c r="AM204" s="173"/>
      <c r="AN204" s="174"/>
      <c r="AO204" s="138" t="s">
        <v>49</v>
      </c>
      <c r="AP204" s="138">
        <f t="shared" si="24"/>
        <v>0.49</v>
      </c>
      <c r="AQ204" s="140">
        <f>IF(head!F$82="S235",235,IF(head!F$82="S275",275,IF(head!F$82="S355",355,IF(head!F$82="S420",420,460))))^0.5*head!$G$70*1000/(S204*3.1416*210000^0.5)</f>
        <v>8.5137039174528635</v>
      </c>
      <c r="AR204" s="140">
        <f t="shared" si="21"/>
        <v>38.778434656802069</v>
      </c>
      <c r="AS204" s="140">
        <f t="shared" si="22"/>
        <v>1.3052998986766337E-2</v>
      </c>
      <c r="AT204" s="141">
        <f>IF(head!F$82="S235",235,IF(head!F$82="S275",275,IF(head!F$82="S355",355,IF(head!F$82="S420",420,460))))*AS204*J204/1000</f>
        <v>1.3609472443021615</v>
      </c>
      <c r="AU204" s="199" t="s">
        <v>47</v>
      </c>
      <c r="AV204" s="142" t="s">
        <v>47</v>
      </c>
      <c r="AW204" s="142" t="s">
        <v>47</v>
      </c>
      <c r="AX204" s="143" t="s">
        <v>47</v>
      </c>
      <c r="AY204" s="135" t="s">
        <v>47</v>
      </c>
      <c r="AZ204" s="200">
        <v>0</v>
      </c>
      <c r="BA204" s="144" t="str">
        <f t="shared" si="23"/>
        <v>CF SHS 40 x 2,5</v>
      </c>
    </row>
    <row r="205" spans="1:54" s="146" customFormat="1">
      <c r="A205" s="128" t="s">
        <v>487</v>
      </c>
      <c r="B205" s="83">
        <f t="shared" si="18"/>
        <v>1.6123276034097174</v>
      </c>
      <c r="C205" s="130">
        <v>40</v>
      </c>
      <c r="D205" s="130">
        <v>40</v>
      </c>
      <c r="E205" s="131">
        <v>2.5</v>
      </c>
      <c r="F205" s="130"/>
      <c r="G205" s="130"/>
      <c r="H205" s="132">
        <v>2.8174031687002472</v>
      </c>
      <c r="I205" s="133">
        <v>2.8712388980384684</v>
      </c>
      <c r="J205" s="133">
        <v>358.90486225480862</v>
      </c>
      <c r="K205" s="133">
        <v>0.15141592653589794</v>
      </c>
      <c r="L205" s="134">
        <v>82151.288243697636</v>
      </c>
      <c r="M205" s="135">
        <v>4107.5644121848818</v>
      </c>
      <c r="N205" s="135">
        <v>4966.906267155462</v>
      </c>
      <c r="O205" s="136">
        <v>15.129254136802768</v>
      </c>
      <c r="P205" s="135">
        <v>82151.288243697636</v>
      </c>
      <c r="Q205" s="135">
        <v>4107.5644121848818</v>
      </c>
      <c r="R205" s="135">
        <v>4966.906267155462</v>
      </c>
      <c r="S205" s="133">
        <v>15.129254136802768</v>
      </c>
      <c r="T205" s="134">
        <v>136549.963912295</v>
      </c>
      <c r="U205" s="171"/>
      <c r="V205" s="137">
        <v>1</v>
      </c>
      <c r="W205" s="138">
        <v>1</v>
      </c>
      <c r="X205" s="138">
        <v>1</v>
      </c>
      <c r="Y205" s="138">
        <v>1</v>
      </c>
      <c r="Z205" s="138">
        <v>1</v>
      </c>
      <c r="AA205" s="139">
        <v>1</v>
      </c>
      <c r="AB205" s="138">
        <v>1</v>
      </c>
      <c r="AC205" s="138">
        <v>1</v>
      </c>
      <c r="AD205" s="138">
        <v>1</v>
      </c>
      <c r="AE205" s="138">
        <v>1</v>
      </c>
      <c r="AF205" s="137">
        <v>1</v>
      </c>
      <c r="AG205" s="138">
        <v>1</v>
      </c>
      <c r="AH205" s="138">
        <v>1</v>
      </c>
      <c r="AI205" s="138">
        <v>1</v>
      </c>
      <c r="AJ205" s="138">
        <v>1</v>
      </c>
      <c r="AK205" s="93">
        <f t="shared" si="20"/>
        <v>421.88318537852092</v>
      </c>
      <c r="AM205" s="173"/>
      <c r="AN205" s="174"/>
      <c r="AO205" s="138" t="s">
        <v>49</v>
      </c>
      <c r="AP205" s="138">
        <f t="shared" si="24"/>
        <v>0.49</v>
      </c>
      <c r="AQ205" s="140">
        <f>IF(head!F$82="S235",235,IF(head!F$82="S275",275,IF(head!F$82="S355",355,IF(head!F$82="S420",420,460))))^0.5*head!$G$70*1000/(S205*3.1416*210000^0.5)</f>
        <v>8.6503986619633633</v>
      </c>
      <c r="AR205" s="140">
        <f t="shared" si="21"/>
        <v>39.985046177629798</v>
      </c>
      <c r="AS205" s="140">
        <f t="shared" si="22"/>
        <v>1.265451760222825E-2</v>
      </c>
      <c r="AT205" s="141">
        <f>IF(head!F$82="S235",235,IF(head!F$82="S275",275,IF(head!F$82="S355",355,IF(head!F$82="S420",420,460))))*AS205*J205/1000</f>
        <v>1.6123276034097174</v>
      </c>
      <c r="AU205" s="199" t="s">
        <v>47</v>
      </c>
      <c r="AV205" s="142" t="s">
        <v>47</v>
      </c>
      <c r="AW205" s="142" t="s">
        <v>47</v>
      </c>
      <c r="AX205" s="143" t="s">
        <v>47</v>
      </c>
      <c r="AY205" s="135" t="s">
        <v>47</v>
      </c>
      <c r="AZ205" s="200">
        <v>0</v>
      </c>
      <c r="BA205" s="144" t="str">
        <f t="shared" si="23"/>
        <v>CF SHS 40 x 3</v>
      </c>
    </row>
    <row r="206" spans="1:54" s="146" customFormat="1">
      <c r="A206" s="128" t="s">
        <v>268</v>
      </c>
      <c r="B206" s="83">
        <f t="shared" si="18"/>
        <v>1.8314437944640516</v>
      </c>
      <c r="C206" s="130">
        <v>40</v>
      </c>
      <c r="D206" s="130">
        <v>40</v>
      </c>
      <c r="E206" s="131">
        <v>3</v>
      </c>
      <c r="F206" s="130"/>
      <c r="G206" s="130"/>
      <c r="H206" s="132">
        <v>3.3034605629283567</v>
      </c>
      <c r="I206" s="133">
        <v>3.3665840131753955</v>
      </c>
      <c r="J206" s="133">
        <v>420.82300164692441</v>
      </c>
      <c r="K206" s="133">
        <v>0.14969911184307749</v>
      </c>
      <c r="L206" s="134">
        <v>93235.567091325094</v>
      </c>
      <c r="M206" s="135">
        <v>4661.7783545662542</v>
      </c>
      <c r="N206" s="135">
        <v>5723.5220230569421</v>
      </c>
      <c r="O206" s="136">
        <v>14.88473384706489</v>
      </c>
      <c r="P206" s="135">
        <v>93235.567091325094</v>
      </c>
      <c r="Q206" s="135">
        <v>4661.7783545662542</v>
      </c>
      <c r="R206" s="135">
        <v>5723.5220230569421</v>
      </c>
      <c r="S206" s="133">
        <v>14.88473384706489</v>
      </c>
      <c r="T206" s="134">
        <v>158028.340271066</v>
      </c>
      <c r="U206" s="171"/>
      <c r="V206" s="137">
        <v>1</v>
      </c>
      <c r="W206" s="138">
        <v>1</v>
      </c>
      <c r="X206" s="138">
        <v>1</v>
      </c>
      <c r="Y206" s="138">
        <v>1</v>
      </c>
      <c r="Z206" s="138">
        <v>1</v>
      </c>
      <c r="AA206" s="139">
        <v>1</v>
      </c>
      <c r="AB206" s="138">
        <v>1</v>
      </c>
      <c r="AC206" s="138">
        <v>1</v>
      </c>
      <c r="AD206" s="138">
        <v>1</v>
      </c>
      <c r="AE206" s="138">
        <v>1</v>
      </c>
      <c r="AF206" s="137">
        <v>1</v>
      </c>
      <c r="AG206" s="138">
        <v>1</v>
      </c>
      <c r="AH206" s="138">
        <v>1</v>
      </c>
      <c r="AI206" s="138">
        <v>1</v>
      </c>
      <c r="AJ206" s="138">
        <v>1</v>
      </c>
      <c r="AK206" s="93">
        <f t="shared" si="20"/>
        <v>355.72939515477543</v>
      </c>
      <c r="AM206" s="173"/>
      <c r="AN206" s="174"/>
      <c r="AO206" s="138" t="s">
        <v>49</v>
      </c>
      <c r="AP206" s="138">
        <f t="shared" si="24"/>
        <v>0.49</v>
      </c>
      <c r="AQ206" s="140">
        <f>IF(head!F$82="S235",235,IF(head!F$82="S275",275,IF(head!F$82="S355",355,IF(head!F$82="S420",420,460))))^0.5*head!$G$70*1000/(S206*3.1416*210000^0.5)</f>
        <v>8.7925038557077944</v>
      </c>
      <c r="AR206" s="140">
        <f t="shared" si="21"/>
        <v>41.259225470966626</v>
      </c>
      <c r="AS206" s="140">
        <f t="shared" si="22"/>
        <v>1.2259302804109909E-2</v>
      </c>
      <c r="AT206" s="141">
        <f>IF(head!F$82="S235",235,IF(head!F$82="S275",275,IF(head!F$82="S355",355,IF(head!F$82="S420",420,460))))*AS206*J206/1000</f>
        <v>1.8314437944640516</v>
      </c>
      <c r="AU206" s="199" t="s">
        <v>47</v>
      </c>
      <c r="AV206" s="142" t="s">
        <v>47</v>
      </c>
      <c r="AW206" s="142" t="s">
        <v>47</v>
      </c>
      <c r="AX206" s="143" t="s">
        <v>47</v>
      </c>
      <c r="AY206" s="135" t="s">
        <v>47</v>
      </c>
      <c r="AZ206" s="200">
        <v>0</v>
      </c>
      <c r="BA206" s="144" t="str">
        <f t="shared" si="23"/>
        <v>CF SHS 40 x 4</v>
      </c>
    </row>
    <row r="207" spans="1:54" s="146" customFormat="1">
      <c r="A207" s="128" t="s">
        <v>488</v>
      </c>
      <c r="B207" s="83">
        <f t="shared" si="18"/>
        <v>2.1792010003195683</v>
      </c>
      <c r="C207" s="130">
        <v>40</v>
      </c>
      <c r="D207" s="130">
        <v>40</v>
      </c>
      <c r="E207" s="131">
        <v>4</v>
      </c>
      <c r="F207" s="130"/>
      <c r="G207" s="130"/>
      <c r="H207" s="132">
        <v>4.1981521118726342</v>
      </c>
      <c r="I207" s="133">
        <v>4.2783715789784811</v>
      </c>
      <c r="J207" s="133">
        <v>534.79644737231001</v>
      </c>
      <c r="K207" s="133">
        <v>0.1462654824574367</v>
      </c>
      <c r="L207" s="134">
        <v>110746.61736905886</v>
      </c>
      <c r="M207" s="135">
        <v>5537.3308684529429</v>
      </c>
      <c r="N207" s="135">
        <v>7014.8907018010541</v>
      </c>
      <c r="O207" s="136">
        <v>14.390337452352952</v>
      </c>
      <c r="P207" s="135">
        <v>110746.61736905886</v>
      </c>
      <c r="Q207" s="135">
        <v>5537.3308684529429</v>
      </c>
      <c r="R207" s="135">
        <v>7014.8907018010541</v>
      </c>
      <c r="S207" s="133">
        <v>14.390337452352952</v>
      </c>
      <c r="T207" s="134">
        <v>194871.490829088</v>
      </c>
      <c r="U207" s="171"/>
      <c r="V207" s="137">
        <v>1</v>
      </c>
      <c r="W207" s="138">
        <v>1</v>
      </c>
      <c r="X207" s="138">
        <v>1</v>
      </c>
      <c r="Y207" s="138">
        <v>1</v>
      </c>
      <c r="Z207" s="138">
        <v>1</v>
      </c>
      <c r="AA207" s="139">
        <v>1</v>
      </c>
      <c r="AB207" s="138">
        <v>1</v>
      </c>
      <c r="AC207" s="138">
        <v>1</v>
      </c>
      <c r="AD207" s="138">
        <v>1</v>
      </c>
      <c r="AE207" s="138">
        <v>1</v>
      </c>
      <c r="AF207" s="137">
        <v>1</v>
      </c>
      <c r="AG207" s="138">
        <v>1</v>
      </c>
      <c r="AH207" s="138">
        <v>1</v>
      </c>
      <c r="AI207" s="138">
        <v>1</v>
      </c>
      <c r="AJ207" s="138">
        <v>1</v>
      </c>
      <c r="AK207" s="93">
        <f t="shared" si="20"/>
        <v>273.49748334362221</v>
      </c>
      <c r="AM207" s="173"/>
      <c r="AN207" s="174"/>
      <c r="AO207" s="138" t="s">
        <v>49</v>
      </c>
      <c r="AP207" s="138">
        <f t="shared" si="24"/>
        <v>0.49</v>
      </c>
      <c r="AQ207" s="140">
        <f>IF(head!F$82="S235",235,IF(head!F$82="S275",275,IF(head!F$82="S355",355,IF(head!F$82="S420",420,460))))^0.5*head!$G$70*1000/(S207*3.1416*210000^0.5)</f>
        <v>9.0945803164680648</v>
      </c>
      <c r="AR207" s="140">
        <f t="shared" si="21"/>
        <v>44.034867743878856</v>
      </c>
      <c r="AS207" s="140">
        <f t="shared" si="22"/>
        <v>1.147837536554139E-2</v>
      </c>
      <c r="AT207" s="141">
        <f>IF(head!F$82="S235",235,IF(head!F$82="S275",275,IF(head!F$82="S355",355,IF(head!F$82="S420",420,460))))*AS207*J207/1000</f>
        <v>2.1792010003195683</v>
      </c>
      <c r="AU207" s="199" t="s">
        <v>47</v>
      </c>
      <c r="AV207" s="142" t="s">
        <v>47</v>
      </c>
      <c r="AW207" s="142" t="s">
        <v>47</v>
      </c>
      <c r="AX207" s="143" t="s">
        <v>47</v>
      </c>
      <c r="AY207" s="135" t="s">
        <v>47</v>
      </c>
      <c r="AZ207" s="200">
        <v>0</v>
      </c>
      <c r="BA207" s="144" t="str">
        <f t="shared" si="23"/>
        <v>CF SHS 45 x 3</v>
      </c>
    </row>
    <row r="208" spans="1:54" s="146" customFormat="1">
      <c r="A208" s="128" t="s">
        <v>489</v>
      </c>
      <c r="B208" s="83">
        <f t="shared" si="18"/>
        <v>2.6874583561085394</v>
      </c>
      <c r="C208" s="130">
        <v>45</v>
      </c>
      <c r="D208" s="130">
        <v>45</v>
      </c>
      <c r="E208" s="131">
        <v>3</v>
      </c>
      <c r="F208" s="130"/>
      <c r="G208" s="130"/>
      <c r="H208" s="132">
        <v>3.7744605629283567</v>
      </c>
      <c r="I208" s="133">
        <v>3.8465840131753954</v>
      </c>
      <c r="J208" s="133">
        <v>480.82300164692441</v>
      </c>
      <c r="K208" s="133">
        <v>0.16969911184307751</v>
      </c>
      <c r="L208" s="134">
        <v>137798.32096690309</v>
      </c>
      <c r="M208" s="135">
        <v>6124.3698207512489</v>
      </c>
      <c r="N208" s="135">
        <v>7443.0795271742527</v>
      </c>
      <c r="O208" s="136">
        <v>16.928923609511042</v>
      </c>
      <c r="P208" s="135">
        <v>137798.32096690309</v>
      </c>
      <c r="Q208" s="135">
        <v>6124.3698207512489</v>
      </c>
      <c r="R208" s="135">
        <v>7443.0795271742527</v>
      </c>
      <c r="S208" s="133">
        <v>16.928923609511042</v>
      </c>
      <c r="T208" s="134">
        <v>230551.74251251799</v>
      </c>
      <c r="U208" s="171"/>
      <c r="V208" s="137">
        <v>1</v>
      </c>
      <c r="W208" s="138">
        <v>1</v>
      </c>
      <c r="X208" s="138">
        <v>1</v>
      </c>
      <c r="Y208" s="138">
        <v>1</v>
      </c>
      <c r="Z208" s="138">
        <v>1</v>
      </c>
      <c r="AA208" s="139">
        <v>1</v>
      </c>
      <c r="AB208" s="138">
        <v>1</v>
      </c>
      <c r="AC208" s="138">
        <v>1</v>
      </c>
      <c r="AD208" s="138">
        <v>1</v>
      </c>
      <c r="AE208" s="138">
        <v>1</v>
      </c>
      <c r="AF208" s="137">
        <v>1</v>
      </c>
      <c r="AG208" s="138">
        <v>1</v>
      </c>
      <c r="AH208" s="138">
        <v>1</v>
      </c>
      <c r="AI208" s="138">
        <v>1</v>
      </c>
      <c r="AJ208" s="138">
        <v>1</v>
      </c>
      <c r="AK208" s="93">
        <f t="shared" si="20"/>
        <v>352.93467921006436</v>
      </c>
      <c r="AM208" s="173"/>
      <c r="AN208" s="174"/>
      <c r="AO208" s="138" t="s">
        <v>49</v>
      </c>
      <c r="AP208" s="138">
        <f t="shared" si="24"/>
        <v>0.49</v>
      </c>
      <c r="AQ208" s="140">
        <f>IF(head!F$82="S235",235,IF(head!F$82="S275",275,IF(head!F$82="S355",355,IF(head!F$82="S420",420,460))))^0.5*head!$G$70*1000/(S208*3.1416*210000^0.5)</f>
        <v>7.7307974659401504</v>
      </c>
      <c r="AR208" s="140">
        <f t="shared" si="21"/>
        <v>32.22766010884866</v>
      </c>
      <c r="AS208" s="140">
        <f t="shared" si="22"/>
        <v>1.5744473959325576E-2</v>
      </c>
      <c r="AT208" s="141">
        <f>IF(head!F$82="S235",235,IF(head!F$82="S275",275,IF(head!F$82="S355",355,IF(head!F$82="S420",420,460))))*AS208*J208/1000</f>
        <v>2.6874583561085394</v>
      </c>
      <c r="AU208" s="199" t="s">
        <v>47</v>
      </c>
      <c r="AV208" s="142" t="s">
        <v>47</v>
      </c>
      <c r="AW208" s="142" t="s">
        <v>47</v>
      </c>
      <c r="AX208" s="143" t="s">
        <v>47</v>
      </c>
      <c r="AY208" s="135" t="s">
        <v>47</v>
      </c>
      <c r="AZ208" s="200">
        <v>0</v>
      </c>
      <c r="BA208" s="144" t="str">
        <f t="shared" si="23"/>
        <v>CF SHS 45 x 4</v>
      </c>
    </row>
    <row r="209" spans="1:53" s="146" customFormat="1">
      <c r="A209" s="128" t="s">
        <v>490</v>
      </c>
      <c r="B209" s="83">
        <f t="shared" si="18"/>
        <v>3.2452046976800863</v>
      </c>
      <c r="C209" s="130">
        <v>45</v>
      </c>
      <c r="D209" s="130">
        <v>45</v>
      </c>
      <c r="E209" s="131">
        <v>4</v>
      </c>
      <c r="F209" s="130"/>
      <c r="G209" s="130"/>
      <c r="H209" s="132">
        <v>4.8261521118726334</v>
      </c>
      <c r="I209" s="133">
        <v>4.9183715789784799</v>
      </c>
      <c r="J209" s="133">
        <v>614.79644737231001</v>
      </c>
      <c r="K209" s="133">
        <v>0.16626548245743669</v>
      </c>
      <c r="L209" s="134">
        <v>166110.21534080774</v>
      </c>
      <c r="M209" s="135">
        <v>7382.6762373692318</v>
      </c>
      <c r="N209" s="135">
        <v>9221.8818202318289</v>
      </c>
      <c r="O209" s="136">
        <v>16.437376241253578</v>
      </c>
      <c r="P209" s="135">
        <v>166110.21534080774</v>
      </c>
      <c r="Q209" s="135">
        <v>7382.6762373692318</v>
      </c>
      <c r="R209" s="135">
        <v>9221.8818202318289</v>
      </c>
      <c r="S209" s="133">
        <v>16.437376241253578</v>
      </c>
      <c r="T209" s="134">
        <v>287548.929478743</v>
      </c>
      <c r="U209" s="171"/>
      <c r="V209" s="137">
        <v>1</v>
      </c>
      <c r="W209" s="138">
        <v>1</v>
      </c>
      <c r="X209" s="138">
        <v>1</v>
      </c>
      <c r="Y209" s="138">
        <v>1</v>
      </c>
      <c r="Z209" s="138">
        <v>1</v>
      </c>
      <c r="AA209" s="139">
        <v>1</v>
      </c>
      <c r="AB209" s="138">
        <v>1</v>
      </c>
      <c r="AC209" s="138">
        <v>1</v>
      </c>
      <c r="AD209" s="138">
        <v>1</v>
      </c>
      <c r="AE209" s="138">
        <v>1</v>
      </c>
      <c r="AF209" s="137">
        <v>1</v>
      </c>
      <c r="AG209" s="138">
        <v>1</v>
      </c>
      <c r="AH209" s="138">
        <v>1</v>
      </c>
      <c r="AI209" s="138">
        <v>1</v>
      </c>
      <c r="AJ209" s="138">
        <v>1</v>
      </c>
      <c r="AK209" s="93">
        <f t="shared" si="20"/>
        <v>270.43988814195149</v>
      </c>
      <c r="AM209" s="173"/>
      <c r="AN209" s="174"/>
      <c r="AO209" s="138" t="s">
        <v>49</v>
      </c>
      <c r="AP209" s="138">
        <f t="shared" si="24"/>
        <v>0.49</v>
      </c>
      <c r="AQ209" s="140">
        <f>IF(head!F$82="S235",235,IF(head!F$82="S275",275,IF(head!F$82="S355",355,IF(head!F$82="S420",420,460))))^0.5*head!$G$70*1000/(S209*3.1416*210000^0.5)</f>
        <v>7.9619811471518274</v>
      </c>
      <c r="AR209" s="140">
        <f t="shared" si="21"/>
        <v>34.098257274852763</v>
      </c>
      <c r="AS209" s="140">
        <f t="shared" si="22"/>
        <v>1.4869021645582136E-2</v>
      </c>
      <c r="AT209" s="141">
        <f>IF(head!F$82="S235",235,IF(head!F$82="S275",275,IF(head!F$82="S355",355,IF(head!F$82="S420",420,460))))*AS209*J209/1000</f>
        <v>3.2452046976800863</v>
      </c>
      <c r="AU209" s="199" t="s">
        <v>47</v>
      </c>
      <c r="AV209" s="142" t="s">
        <v>47</v>
      </c>
      <c r="AW209" s="142" t="s">
        <v>47</v>
      </c>
      <c r="AX209" s="143" t="s">
        <v>47</v>
      </c>
      <c r="AY209" s="135" t="s">
        <v>47</v>
      </c>
      <c r="AZ209" s="200">
        <v>0</v>
      </c>
      <c r="BA209" s="144" t="str">
        <f t="shared" si="23"/>
        <v>CF SHS 50 x 2</v>
      </c>
    </row>
    <row r="210" spans="1:53" s="146" customFormat="1">
      <c r="A210" s="128" t="s">
        <v>491</v>
      </c>
      <c r="B210" s="83">
        <f t="shared" si="18"/>
        <v>2.734774891404228</v>
      </c>
      <c r="C210" s="130">
        <v>50</v>
      </c>
      <c r="D210" s="130">
        <v>50</v>
      </c>
      <c r="E210" s="131">
        <v>2</v>
      </c>
      <c r="F210" s="130"/>
      <c r="G210" s="130"/>
      <c r="H210" s="132">
        <v>2.9335380279681584</v>
      </c>
      <c r="I210" s="133">
        <v>2.9895928947446202</v>
      </c>
      <c r="J210" s="133">
        <v>373.6991118430775</v>
      </c>
      <c r="K210" s="133">
        <v>0.19313274122871835</v>
      </c>
      <c r="L210" s="134">
        <v>141469.80388201258</v>
      </c>
      <c r="M210" s="135">
        <v>5658.7921552805028</v>
      </c>
      <c r="N210" s="135">
        <v>6662.3480153712944</v>
      </c>
      <c r="O210" s="136">
        <v>19.456774381396645</v>
      </c>
      <c r="P210" s="135">
        <v>141469.80388201258</v>
      </c>
      <c r="Q210" s="135">
        <v>5658.7921552805028</v>
      </c>
      <c r="R210" s="135">
        <v>6662.3480153712944</v>
      </c>
      <c r="S210" s="133">
        <v>19.456774381396645</v>
      </c>
      <c r="T210" s="134">
        <v>226798.89391434999</v>
      </c>
      <c r="U210" s="171"/>
      <c r="V210" s="137">
        <v>1</v>
      </c>
      <c r="W210" s="138">
        <v>1</v>
      </c>
      <c r="X210" s="138">
        <v>1</v>
      </c>
      <c r="Y210" s="138">
        <v>1</v>
      </c>
      <c r="Z210" s="138">
        <v>1</v>
      </c>
      <c r="AA210" s="139">
        <v>1</v>
      </c>
      <c r="AB210" s="138">
        <v>1</v>
      </c>
      <c r="AC210" s="138">
        <v>1</v>
      </c>
      <c r="AD210" s="138">
        <v>2</v>
      </c>
      <c r="AE210" s="138">
        <v>2</v>
      </c>
      <c r="AF210" s="137">
        <v>1</v>
      </c>
      <c r="AG210" s="138">
        <v>1</v>
      </c>
      <c r="AH210" s="138">
        <v>1</v>
      </c>
      <c r="AI210" s="138">
        <v>1</v>
      </c>
      <c r="AJ210" s="138">
        <v>1</v>
      </c>
      <c r="AK210" s="93">
        <f t="shared" si="20"/>
        <v>516.81348739682846</v>
      </c>
      <c r="AM210" s="173"/>
      <c r="AN210" s="174"/>
      <c r="AO210" s="138" t="s">
        <v>49</v>
      </c>
      <c r="AP210" s="138">
        <f t="shared" si="24"/>
        <v>0.49</v>
      </c>
      <c r="AQ210" s="140">
        <f>IF(head!F$82="S235",235,IF(head!F$82="S275",275,IF(head!F$82="S355",355,IF(head!F$82="S420",420,460))))^0.5*head!$G$70*1000/(S210*3.1416*210000^0.5)</f>
        <v>6.7264016725524662</v>
      </c>
      <c r="AR210" s="140">
        <f t="shared" si="21"/>
        <v>24.72120814003366</v>
      </c>
      <c r="AS210" s="140">
        <f t="shared" si="22"/>
        <v>2.0614422136028675E-2</v>
      </c>
      <c r="AT210" s="141">
        <f>IF(head!F$82="S235",235,IF(head!F$82="S275",275,IF(head!F$82="S355",355,IF(head!F$82="S420",420,460))))*AS210*J210/1000</f>
        <v>2.734774891404228</v>
      </c>
      <c r="AU210" s="199" t="s">
        <v>47</v>
      </c>
      <c r="AV210" s="142" t="s">
        <v>47</v>
      </c>
      <c r="AW210" s="142" t="s">
        <v>47</v>
      </c>
      <c r="AX210" s="143" t="s">
        <v>47</v>
      </c>
      <c r="AY210" s="135" t="s">
        <v>47</v>
      </c>
      <c r="AZ210" s="200">
        <v>0</v>
      </c>
      <c r="BA210" s="144" t="str">
        <f t="shared" si="23"/>
        <v>CF SHS 50 x 2,5</v>
      </c>
    </row>
    <row r="211" spans="1:53" s="146" customFormat="1">
      <c r="A211" s="128" t="s">
        <v>492</v>
      </c>
      <c r="B211" s="83">
        <f t="shared" si="18"/>
        <v>3.278214134285466</v>
      </c>
      <c r="C211" s="130">
        <v>50</v>
      </c>
      <c r="D211" s="130">
        <v>50</v>
      </c>
      <c r="E211" s="131">
        <v>2.5</v>
      </c>
      <c r="F211" s="130"/>
      <c r="G211" s="130"/>
      <c r="H211" s="132">
        <v>3.6024031687002473</v>
      </c>
      <c r="I211" s="133">
        <v>3.6712388980384687</v>
      </c>
      <c r="J211" s="133">
        <v>458.90486225480862</v>
      </c>
      <c r="K211" s="133">
        <v>0.19141592653589795</v>
      </c>
      <c r="L211" s="134">
        <v>169438.8058049558</v>
      </c>
      <c r="M211" s="135">
        <v>6777.5522321982326</v>
      </c>
      <c r="N211" s="135">
        <v>8073.9305784295057</v>
      </c>
      <c r="O211" s="136">
        <v>19.215208945840544</v>
      </c>
      <c r="P211" s="135">
        <v>169438.8058049558</v>
      </c>
      <c r="Q211" s="135">
        <v>6777.5522321982326</v>
      </c>
      <c r="R211" s="135">
        <v>8073.9305784295057</v>
      </c>
      <c r="S211" s="133">
        <v>19.215208945840544</v>
      </c>
      <c r="T211" s="134">
        <v>276076.88208394003</v>
      </c>
      <c r="U211" s="171"/>
      <c r="V211" s="137">
        <v>1</v>
      </c>
      <c r="W211" s="138">
        <v>1</v>
      </c>
      <c r="X211" s="138">
        <v>1</v>
      </c>
      <c r="Y211" s="138">
        <v>1</v>
      </c>
      <c r="Z211" s="138">
        <v>1</v>
      </c>
      <c r="AA211" s="139">
        <v>1</v>
      </c>
      <c r="AB211" s="138">
        <v>1</v>
      </c>
      <c r="AC211" s="138">
        <v>1</v>
      </c>
      <c r="AD211" s="138">
        <v>1</v>
      </c>
      <c r="AE211" s="138">
        <v>1</v>
      </c>
      <c r="AF211" s="137">
        <v>1</v>
      </c>
      <c r="AG211" s="138">
        <v>1</v>
      </c>
      <c r="AH211" s="138">
        <v>1</v>
      </c>
      <c r="AI211" s="138">
        <v>1</v>
      </c>
      <c r="AJ211" s="138">
        <v>1</v>
      </c>
      <c r="AK211" s="93">
        <f t="shared" si="20"/>
        <v>417.11461847535088</v>
      </c>
      <c r="AM211" s="173"/>
      <c r="AN211" s="174"/>
      <c r="AO211" s="138" t="s">
        <v>49</v>
      </c>
      <c r="AP211" s="138">
        <f t="shared" si="24"/>
        <v>0.49</v>
      </c>
      <c r="AQ211" s="140">
        <f>IF(head!F$82="S235",235,IF(head!F$82="S275",275,IF(head!F$82="S355",355,IF(head!F$82="S420",420,460))))^0.5*head!$G$70*1000/(S211*3.1416*210000^0.5)</f>
        <v>6.8109631339622903</v>
      </c>
      <c r="AR211" s="140">
        <f t="shared" si="21"/>
        <v>25.314295373917471</v>
      </c>
      <c r="AS211" s="140">
        <f t="shared" si="22"/>
        <v>2.0122702484996331E-2</v>
      </c>
      <c r="AT211" s="141">
        <f>IF(head!F$82="S235",235,IF(head!F$82="S275",275,IF(head!F$82="S355",355,IF(head!F$82="S420",420,460))))*AS211*J211/1000</f>
        <v>3.278214134285466</v>
      </c>
      <c r="AU211" s="199" t="s">
        <v>47</v>
      </c>
      <c r="AV211" s="142" t="s">
        <v>47</v>
      </c>
      <c r="AW211" s="142" t="s">
        <v>47</v>
      </c>
      <c r="AX211" s="143" t="s">
        <v>47</v>
      </c>
      <c r="AY211" s="135" t="s">
        <v>47</v>
      </c>
      <c r="AZ211" s="200">
        <v>0</v>
      </c>
      <c r="BA211" s="144" t="str">
        <f t="shared" si="23"/>
        <v>CF SHS 50 x 3</v>
      </c>
    </row>
    <row r="212" spans="1:53" s="146" customFormat="1">
      <c r="A212" s="128" t="s">
        <v>269</v>
      </c>
      <c r="B212" s="83">
        <f t="shared" si="18"/>
        <v>3.7695974502399712</v>
      </c>
      <c r="C212" s="130">
        <v>50</v>
      </c>
      <c r="D212" s="130">
        <v>50</v>
      </c>
      <c r="E212" s="131">
        <v>3</v>
      </c>
      <c r="F212" s="130"/>
      <c r="G212" s="130"/>
      <c r="H212" s="132">
        <v>4.2454605629283568</v>
      </c>
      <c r="I212" s="133">
        <v>4.3265840131753954</v>
      </c>
      <c r="J212" s="133">
        <v>540.82300164692447</v>
      </c>
      <c r="K212" s="133">
        <v>0.1896991118430775</v>
      </c>
      <c r="L212" s="134">
        <v>194671.3623630676</v>
      </c>
      <c r="M212" s="135">
        <v>7786.854494522705</v>
      </c>
      <c r="N212" s="135">
        <v>9387.6370312915642</v>
      </c>
      <c r="O212" s="136">
        <v>18.972451748555628</v>
      </c>
      <c r="P212" s="135">
        <v>194671.3623630676</v>
      </c>
      <c r="Q212" s="135">
        <v>7786.854494522705</v>
      </c>
      <c r="R212" s="135">
        <v>9387.6370312915642</v>
      </c>
      <c r="S212" s="133">
        <v>18.972451748555628</v>
      </c>
      <c r="T212" s="134">
        <v>322300.56447650603</v>
      </c>
      <c r="U212" s="171"/>
      <c r="V212" s="137">
        <v>1</v>
      </c>
      <c r="W212" s="138">
        <v>1</v>
      </c>
      <c r="X212" s="138">
        <v>1</v>
      </c>
      <c r="Y212" s="138">
        <v>1</v>
      </c>
      <c r="Z212" s="138">
        <v>1</v>
      </c>
      <c r="AA212" s="139">
        <v>1</v>
      </c>
      <c r="AB212" s="138">
        <v>1</v>
      </c>
      <c r="AC212" s="138">
        <v>1</v>
      </c>
      <c r="AD212" s="138">
        <v>1</v>
      </c>
      <c r="AE212" s="138">
        <v>1</v>
      </c>
      <c r="AF212" s="137">
        <v>1</v>
      </c>
      <c r="AG212" s="138">
        <v>1</v>
      </c>
      <c r="AH212" s="138">
        <v>1</v>
      </c>
      <c r="AI212" s="138">
        <v>1</v>
      </c>
      <c r="AJ212" s="138">
        <v>1</v>
      </c>
      <c r="AK212" s="93">
        <f t="shared" si="20"/>
        <v>350.76006616841767</v>
      </c>
      <c r="AM212" s="173"/>
      <c r="AN212" s="174"/>
      <c r="AO212" s="138" t="s">
        <v>49</v>
      </c>
      <c r="AP212" s="138">
        <f t="shared" si="24"/>
        <v>0.49</v>
      </c>
      <c r="AQ212" s="140">
        <f>IF(head!F$82="S235",235,IF(head!F$82="S275",275,IF(head!F$82="S355",355,IF(head!F$82="S420",420,460))))^0.5*head!$G$70*1000/(S212*3.1416*210000^0.5)</f>
        <v>6.8981110863262991</v>
      </c>
      <c r="AR212" s="140">
        <f t="shared" si="21"/>
        <v>25.933005495798842</v>
      </c>
      <c r="AS212" s="140">
        <f t="shared" si="22"/>
        <v>1.9634121208856214E-2</v>
      </c>
      <c r="AT212" s="141">
        <f>IF(head!F$82="S235",235,IF(head!F$82="S275",275,IF(head!F$82="S355",355,IF(head!F$82="S420",420,460))))*AS212*J212/1000</f>
        <v>3.7695974502399712</v>
      </c>
      <c r="AU212" s="199" t="s">
        <v>47</v>
      </c>
      <c r="AV212" s="142" t="s">
        <v>47</v>
      </c>
      <c r="AW212" s="142" t="s">
        <v>47</v>
      </c>
      <c r="AX212" s="143" t="s">
        <v>47</v>
      </c>
      <c r="AY212" s="135" t="s">
        <v>47</v>
      </c>
      <c r="AZ212" s="200">
        <v>0</v>
      </c>
      <c r="BA212" s="144" t="str">
        <f t="shared" si="23"/>
        <v>CF SHS 50 x 4</v>
      </c>
    </row>
    <row r="213" spans="1:53" s="146" customFormat="1">
      <c r="A213" s="128" t="s">
        <v>493</v>
      </c>
      <c r="B213" s="83">
        <f t="shared" si="18"/>
        <v>4.6040625489971978</v>
      </c>
      <c r="C213" s="130">
        <v>50</v>
      </c>
      <c r="D213" s="130">
        <v>50</v>
      </c>
      <c r="E213" s="131">
        <v>4</v>
      </c>
      <c r="F213" s="130"/>
      <c r="G213" s="130"/>
      <c r="H213" s="132">
        <v>5.4541521118726335</v>
      </c>
      <c r="I213" s="133">
        <v>5.5583715789784796</v>
      </c>
      <c r="J213" s="133">
        <v>694.79644737231001</v>
      </c>
      <c r="K213" s="133">
        <v>0.18626548245743668</v>
      </c>
      <c r="L213" s="134">
        <v>237358.76890471045</v>
      </c>
      <c r="M213" s="135">
        <v>9494.350756188418</v>
      </c>
      <c r="N213" s="135">
        <v>11728.872938662606</v>
      </c>
      <c r="O213" s="136">
        <v>18.483058829132819</v>
      </c>
      <c r="P213" s="135">
        <v>237358.76890471045</v>
      </c>
      <c r="Q213" s="135">
        <v>9494.350756188418</v>
      </c>
      <c r="R213" s="135">
        <v>11728.872938662606</v>
      </c>
      <c r="S213" s="133">
        <v>18.483058829132819</v>
      </c>
      <c r="T213" s="134">
        <v>405406.213653074</v>
      </c>
      <c r="U213" s="171"/>
      <c r="V213" s="137">
        <v>1</v>
      </c>
      <c r="W213" s="138">
        <v>1</v>
      </c>
      <c r="X213" s="138">
        <v>1</v>
      </c>
      <c r="Y213" s="138">
        <v>1</v>
      </c>
      <c r="Z213" s="138">
        <v>1</v>
      </c>
      <c r="AA213" s="139">
        <v>1</v>
      </c>
      <c r="AB213" s="138">
        <v>1</v>
      </c>
      <c r="AC213" s="138">
        <v>1</v>
      </c>
      <c r="AD213" s="138">
        <v>1</v>
      </c>
      <c r="AE213" s="138">
        <v>1</v>
      </c>
      <c r="AF213" s="137">
        <v>1</v>
      </c>
      <c r="AG213" s="138">
        <v>1</v>
      </c>
      <c r="AH213" s="138">
        <v>1</v>
      </c>
      <c r="AI213" s="138">
        <v>1</v>
      </c>
      <c r="AJ213" s="138">
        <v>1</v>
      </c>
      <c r="AK213" s="93">
        <f t="shared" si="20"/>
        <v>268.08640597096411</v>
      </c>
      <c r="AM213" s="173"/>
      <c r="AN213" s="174"/>
      <c r="AO213" s="138" t="s">
        <v>49</v>
      </c>
      <c r="AP213" s="138">
        <f t="shared" si="24"/>
        <v>0.49</v>
      </c>
      <c r="AQ213" s="140">
        <f>IF(head!F$82="S235",235,IF(head!F$82="S275",275,IF(head!F$82="S355",355,IF(head!F$82="S420",420,460))))^0.5*head!$G$70*1000/(S213*3.1416*210000^0.5)</f>
        <v>7.0807587072773845</v>
      </c>
      <c r="AR213" s="140">
        <f t="shared" si="21"/>
        <v>27.254357818625209</v>
      </c>
      <c r="AS213" s="140">
        <f t="shared" si="22"/>
        <v>1.8666172413394255E-2</v>
      </c>
      <c r="AT213" s="141">
        <f>IF(head!F$82="S235",235,IF(head!F$82="S275",275,IF(head!F$82="S355",355,IF(head!F$82="S420",420,460))))*AS213*J213/1000</f>
        <v>4.6040625489971978</v>
      </c>
      <c r="AU213" s="199" t="s">
        <v>47</v>
      </c>
      <c r="AV213" s="142" t="s">
        <v>47</v>
      </c>
      <c r="AW213" s="142" t="s">
        <v>47</v>
      </c>
      <c r="AX213" s="143" t="s">
        <v>47</v>
      </c>
      <c r="AY213" s="135" t="s">
        <v>47</v>
      </c>
      <c r="AZ213" s="200">
        <v>0</v>
      </c>
      <c r="BA213" s="144" t="str">
        <f t="shared" si="23"/>
        <v>CF SHS 50 x 5</v>
      </c>
    </row>
    <row r="214" spans="1:53" s="146" customFormat="1">
      <c r="A214" s="128" t="s">
        <v>494</v>
      </c>
      <c r="B214" s="83">
        <f t="shared" si="18"/>
        <v>5.2536183487419832</v>
      </c>
      <c r="C214" s="130">
        <v>50</v>
      </c>
      <c r="D214" s="130">
        <v>50</v>
      </c>
      <c r="E214" s="131">
        <v>5</v>
      </c>
      <c r="F214" s="130"/>
      <c r="G214" s="130"/>
      <c r="H214" s="132">
        <v>6.5596126748009906</v>
      </c>
      <c r="I214" s="133">
        <v>6.6849555921538757</v>
      </c>
      <c r="J214" s="133">
        <v>835.61944901923448</v>
      </c>
      <c r="K214" s="133">
        <v>0.18283185307179586</v>
      </c>
      <c r="L214" s="134">
        <v>270377.48381117883</v>
      </c>
      <c r="M214" s="135">
        <v>10815.099352447152</v>
      </c>
      <c r="N214" s="135">
        <v>13700.958401955184</v>
      </c>
      <c r="O214" s="136">
        <v>17.987921815441187</v>
      </c>
      <c r="P214" s="135">
        <v>270377.48381117883</v>
      </c>
      <c r="Q214" s="135">
        <v>10815.099352447152</v>
      </c>
      <c r="R214" s="135">
        <v>13700.958401955184</v>
      </c>
      <c r="S214" s="133">
        <v>17.987921815441187</v>
      </c>
      <c r="T214" s="134">
        <v>475760.47039192799</v>
      </c>
      <c r="U214" s="171"/>
      <c r="V214" s="137">
        <v>1</v>
      </c>
      <c r="W214" s="138">
        <v>1</v>
      </c>
      <c r="X214" s="138">
        <v>1</v>
      </c>
      <c r="Y214" s="138">
        <v>1</v>
      </c>
      <c r="Z214" s="138">
        <v>1</v>
      </c>
      <c r="AA214" s="139">
        <v>1</v>
      </c>
      <c r="AB214" s="138">
        <v>1</v>
      </c>
      <c r="AC214" s="138">
        <v>1</v>
      </c>
      <c r="AD214" s="138">
        <v>1</v>
      </c>
      <c r="AE214" s="138">
        <v>1</v>
      </c>
      <c r="AF214" s="137">
        <v>1</v>
      </c>
      <c r="AG214" s="138">
        <v>1</v>
      </c>
      <c r="AH214" s="138">
        <v>1</v>
      </c>
      <c r="AI214" s="138">
        <v>1</v>
      </c>
      <c r="AJ214" s="138">
        <v>1</v>
      </c>
      <c r="AK214" s="93">
        <f t="shared" si="20"/>
        <v>218.79798667489774</v>
      </c>
      <c r="AM214" s="173"/>
      <c r="AN214" s="174"/>
      <c r="AO214" s="138" t="s">
        <v>49</v>
      </c>
      <c r="AP214" s="138">
        <f t="shared" si="24"/>
        <v>0.49</v>
      </c>
      <c r="AQ214" s="140">
        <f>IF(head!F$82="S235",235,IF(head!F$82="S275",275,IF(head!F$82="S355",355,IF(head!F$82="S420",420,460))))^0.5*head!$G$70*1000/(S214*3.1416*210000^0.5)</f>
        <v>7.2756642531744529</v>
      </c>
      <c r="AR214" s="140">
        <f t="shared" si="21"/>
        <v>28.701182904488029</v>
      </c>
      <c r="AS214" s="140">
        <f t="shared" si="22"/>
        <v>1.771012503766306E-2</v>
      </c>
      <c r="AT214" s="141">
        <f>IF(head!F$82="S235",235,IF(head!F$82="S275",275,IF(head!F$82="S355",355,IF(head!F$82="S420",420,460))))*AS214*J214/1000</f>
        <v>5.2536183487419832</v>
      </c>
      <c r="AU214" s="199" t="s">
        <v>47</v>
      </c>
      <c r="AV214" s="142" t="s">
        <v>47</v>
      </c>
      <c r="AW214" s="142" t="s">
        <v>47</v>
      </c>
      <c r="AX214" s="143" t="s">
        <v>47</v>
      </c>
      <c r="AY214" s="135" t="s">
        <v>47</v>
      </c>
      <c r="AZ214" s="200">
        <v>0</v>
      </c>
      <c r="BA214" s="144" t="str">
        <f t="shared" si="23"/>
        <v>CF SHS 60 x 2</v>
      </c>
    </row>
    <row r="215" spans="1:53" s="146" customFormat="1">
      <c r="A215" s="128" t="s">
        <v>495</v>
      </c>
      <c r="B215" s="83">
        <f t="shared" si="18"/>
        <v>4.7914515624171807</v>
      </c>
      <c r="C215" s="130">
        <v>60</v>
      </c>
      <c r="D215" s="130">
        <v>60</v>
      </c>
      <c r="E215" s="131">
        <v>2</v>
      </c>
      <c r="F215" s="130"/>
      <c r="G215" s="130"/>
      <c r="H215" s="132">
        <v>3.5615380279681581</v>
      </c>
      <c r="I215" s="133">
        <v>3.6295928947446199</v>
      </c>
      <c r="J215" s="133">
        <v>453.6991118430775</v>
      </c>
      <c r="K215" s="133">
        <v>0.23313274122871835</v>
      </c>
      <c r="L215" s="134">
        <v>251422.42849846906</v>
      </c>
      <c r="M215" s="135">
        <v>8380.7476166156339</v>
      </c>
      <c r="N215" s="135">
        <v>9790.8435745866827</v>
      </c>
      <c r="O215" s="136">
        <v>23.540627970905732</v>
      </c>
      <c r="P215" s="135">
        <v>251422.42849846906</v>
      </c>
      <c r="Q215" s="135">
        <v>8380.7476166156339</v>
      </c>
      <c r="R215" s="135">
        <v>9790.8435745866827</v>
      </c>
      <c r="S215" s="133">
        <v>23.540627970905732</v>
      </c>
      <c r="T215" s="134">
        <v>398694.08600852801</v>
      </c>
      <c r="U215" s="171"/>
      <c r="V215" s="137">
        <v>1</v>
      </c>
      <c r="W215" s="138">
        <v>1</v>
      </c>
      <c r="X215" s="138">
        <v>1</v>
      </c>
      <c r="Y215" s="138">
        <v>2</v>
      </c>
      <c r="Z215" s="138">
        <v>2</v>
      </c>
      <c r="AA215" s="139">
        <v>1</v>
      </c>
      <c r="AB215" s="138">
        <v>2</v>
      </c>
      <c r="AC215" s="138">
        <v>2</v>
      </c>
      <c r="AD215" s="138">
        <v>3</v>
      </c>
      <c r="AE215" s="138">
        <v>4</v>
      </c>
      <c r="AF215" s="137">
        <v>1</v>
      </c>
      <c r="AG215" s="138">
        <v>1</v>
      </c>
      <c r="AH215" s="138">
        <v>1</v>
      </c>
      <c r="AI215" s="138">
        <v>2</v>
      </c>
      <c r="AJ215" s="138">
        <v>2</v>
      </c>
      <c r="AK215" s="93">
        <f t="shared" si="20"/>
        <v>513.84879349147332</v>
      </c>
      <c r="AM215" s="173"/>
      <c r="AN215" s="174"/>
      <c r="AO215" s="138" t="s">
        <v>49</v>
      </c>
      <c r="AP215" s="138">
        <f t="shared" si="24"/>
        <v>0.49</v>
      </c>
      <c r="AQ215" s="140">
        <f>IF(head!F$82="S235",235,IF(head!F$82="S275",275,IF(head!F$82="S355",355,IF(head!F$82="S420",420,460))))^0.5*head!$G$70*1000/(S215*3.1416*210000^0.5)</f>
        <v>5.5594982386728118</v>
      </c>
      <c r="AR215" s="140">
        <f t="shared" si="21"/>
        <v>17.267087401377886</v>
      </c>
      <c r="AS215" s="140">
        <f t="shared" si="22"/>
        <v>2.9748893710342013E-2</v>
      </c>
      <c r="AT215" s="141">
        <f>IF(head!F$82="S235",235,IF(head!F$82="S275",275,IF(head!F$82="S355",355,IF(head!F$82="S420",420,460))))*AS215*J215/1000</f>
        <v>4.7914515624171807</v>
      </c>
      <c r="AU215" s="199" t="s">
        <v>47</v>
      </c>
      <c r="AV215" s="142" t="s">
        <v>47</v>
      </c>
      <c r="AW215" s="142" t="s">
        <v>47</v>
      </c>
      <c r="AX215" s="143" t="s">
        <v>47</v>
      </c>
      <c r="AY215" s="135" t="s">
        <v>47</v>
      </c>
      <c r="AZ215" s="200">
        <v>0</v>
      </c>
      <c r="BA215" s="144" t="str">
        <f t="shared" si="23"/>
        <v>CF SHS 60 x 2,5</v>
      </c>
    </row>
    <row r="216" spans="1:53" s="146" customFormat="1">
      <c r="A216" s="128" t="s">
        <v>496</v>
      </c>
      <c r="B216" s="83">
        <f t="shared" si="18"/>
        <v>5.7872837316376327</v>
      </c>
      <c r="C216" s="130">
        <v>60</v>
      </c>
      <c r="D216" s="130">
        <v>60</v>
      </c>
      <c r="E216" s="131">
        <v>2.5</v>
      </c>
      <c r="F216" s="130"/>
      <c r="G216" s="130"/>
      <c r="H216" s="132">
        <v>4.3874031687002475</v>
      </c>
      <c r="I216" s="133">
        <v>4.471238898038469</v>
      </c>
      <c r="J216" s="133">
        <v>558.90486225480868</v>
      </c>
      <c r="K216" s="133">
        <v>0.23141592653589793</v>
      </c>
      <c r="L216" s="134">
        <v>303421.56647895434</v>
      </c>
      <c r="M216" s="135">
        <v>10114.052215965143</v>
      </c>
      <c r="N216" s="135">
        <v>11930.954889703549</v>
      </c>
      <c r="O216" s="136">
        <v>23.299911914077978</v>
      </c>
      <c r="P216" s="135">
        <v>303421.56647895434</v>
      </c>
      <c r="Q216" s="135">
        <v>10114.052215965143</v>
      </c>
      <c r="R216" s="135">
        <v>11930.954889703549</v>
      </c>
      <c r="S216" s="133">
        <v>23.299911914077978</v>
      </c>
      <c r="T216" s="134">
        <v>487756.84110923402</v>
      </c>
      <c r="U216" s="171"/>
      <c r="V216" s="137">
        <v>1</v>
      </c>
      <c r="W216" s="138">
        <v>1</v>
      </c>
      <c r="X216" s="138">
        <v>1</v>
      </c>
      <c r="Y216" s="138">
        <v>1</v>
      </c>
      <c r="Z216" s="138">
        <v>1</v>
      </c>
      <c r="AA216" s="139">
        <v>1</v>
      </c>
      <c r="AB216" s="138">
        <v>1</v>
      </c>
      <c r="AC216" s="138">
        <v>1</v>
      </c>
      <c r="AD216" s="138">
        <v>1</v>
      </c>
      <c r="AE216" s="138">
        <v>1</v>
      </c>
      <c r="AF216" s="137">
        <v>1</v>
      </c>
      <c r="AG216" s="138">
        <v>1</v>
      </c>
      <c r="AH216" s="138">
        <v>1</v>
      </c>
      <c r="AI216" s="138">
        <v>1</v>
      </c>
      <c r="AJ216" s="138">
        <v>1</v>
      </c>
      <c r="AK216" s="93">
        <f t="shared" si="20"/>
        <v>414.0524482150484</v>
      </c>
      <c r="AM216" s="173"/>
      <c r="AN216" s="174"/>
      <c r="AO216" s="138" t="s">
        <v>49</v>
      </c>
      <c r="AP216" s="138">
        <f t="shared" si="24"/>
        <v>0.49</v>
      </c>
      <c r="AQ216" s="140">
        <f>IF(head!F$82="S235",235,IF(head!F$82="S275",275,IF(head!F$82="S355",355,IF(head!F$82="S420",420,460))))^0.5*head!$G$70*1000/(S216*3.1416*210000^0.5)</f>
        <v>5.6169345285132719</v>
      </c>
      <c r="AR216" s="140">
        <f t="shared" si="21"/>
        <v>17.602125708288057</v>
      </c>
      <c r="AS216" s="140">
        <f t="shared" si="22"/>
        <v>2.9168126448185384E-2</v>
      </c>
      <c r="AT216" s="141">
        <f>IF(head!F$82="S235",235,IF(head!F$82="S275",275,IF(head!F$82="S355",355,IF(head!F$82="S420",420,460))))*AS216*J216/1000</f>
        <v>5.7872837316376327</v>
      </c>
      <c r="AU216" s="199" t="s">
        <v>47</v>
      </c>
      <c r="AV216" s="142" t="s">
        <v>47</v>
      </c>
      <c r="AW216" s="142" t="s">
        <v>47</v>
      </c>
      <c r="AX216" s="143" t="s">
        <v>47</v>
      </c>
      <c r="AY216" s="135" t="s">
        <v>47</v>
      </c>
      <c r="AZ216" s="200">
        <v>0</v>
      </c>
      <c r="BA216" s="144" t="str">
        <f t="shared" si="23"/>
        <v>CF SHS 60 x 3</v>
      </c>
    </row>
    <row r="217" spans="1:53" s="146" customFormat="1">
      <c r="A217" s="128" t="s">
        <v>270</v>
      </c>
      <c r="B217" s="83">
        <f t="shared" si="18"/>
        <v>6.7070698724279456</v>
      </c>
      <c r="C217" s="130">
        <v>60</v>
      </c>
      <c r="D217" s="130">
        <v>60</v>
      </c>
      <c r="E217" s="131">
        <v>3</v>
      </c>
      <c r="F217" s="130"/>
      <c r="G217" s="130"/>
      <c r="H217" s="132">
        <v>5.187460562928357</v>
      </c>
      <c r="I217" s="133">
        <v>5.2865840131753954</v>
      </c>
      <c r="J217" s="133">
        <v>660.82300164692447</v>
      </c>
      <c r="K217" s="133">
        <v>0.22969911184307751</v>
      </c>
      <c r="L217" s="134">
        <v>351348.30771715636</v>
      </c>
      <c r="M217" s="135">
        <v>11711.610257238546</v>
      </c>
      <c r="N217" s="135">
        <v>13951.752039526185</v>
      </c>
      <c r="O217" s="136">
        <v>23.058250735008652</v>
      </c>
      <c r="P217" s="135">
        <v>351348.30771715636</v>
      </c>
      <c r="Q217" s="135">
        <v>11711.610257238546</v>
      </c>
      <c r="R217" s="135">
        <v>13951.752039526185</v>
      </c>
      <c r="S217" s="133">
        <v>23.058250735008652</v>
      </c>
      <c r="T217" s="134">
        <v>572473.17424682097</v>
      </c>
      <c r="U217" s="171"/>
      <c r="V217" s="137">
        <v>1</v>
      </c>
      <c r="W217" s="138">
        <v>1</v>
      </c>
      <c r="X217" s="138">
        <v>1</v>
      </c>
      <c r="Y217" s="138">
        <v>1</v>
      </c>
      <c r="Z217" s="138">
        <v>1</v>
      </c>
      <c r="AA217" s="139">
        <v>1</v>
      </c>
      <c r="AB217" s="138">
        <v>1</v>
      </c>
      <c r="AC217" s="138">
        <v>1</v>
      </c>
      <c r="AD217" s="138">
        <v>1</v>
      </c>
      <c r="AE217" s="138">
        <v>1</v>
      </c>
      <c r="AF217" s="137">
        <v>1</v>
      </c>
      <c r="AG217" s="138">
        <v>1</v>
      </c>
      <c r="AH217" s="138">
        <v>1</v>
      </c>
      <c r="AI217" s="138">
        <v>1</v>
      </c>
      <c r="AJ217" s="138">
        <v>1</v>
      </c>
      <c r="AK217" s="93">
        <f t="shared" si="20"/>
        <v>347.59551539612562</v>
      </c>
      <c r="AM217" s="173"/>
      <c r="AN217" s="174"/>
      <c r="AO217" s="138" t="s">
        <v>49</v>
      </c>
      <c r="AP217" s="138">
        <f t="shared" si="24"/>
        <v>0.49</v>
      </c>
      <c r="AQ217" s="140">
        <f>IF(head!F$82="S235",235,IF(head!F$82="S275",275,IF(head!F$82="S355",355,IF(head!F$82="S420",420,460))))^0.5*head!$G$70*1000/(S217*3.1416*210000^0.5)</f>
        <v>5.6758026116352429</v>
      </c>
      <c r="AR217" s="140">
        <f t="shared" si="21"/>
        <v>17.948939282973356</v>
      </c>
      <c r="AS217" s="140">
        <f t="shared" si="22"/>
        <v>2.8590340413595521E-2</v>
      </c>
      <c r="AT217" s="141">
        <f>IF(head!F$82="S235",235,IF(head!F$82="S275",275,IF(head!F$82="S355",355,IF(head!F$82="S420",420,460))))*AS217*J217/1000</f>
        <v>6.7070698724279456</v>
      </c>
      <c r="AU217" s="199" t="s">
        <v>47</v>
      </c>
      <c r="AV217" s="142" t="s">
        <v>47</v>
      </c>
      <c r="AW217" s="142" t="s">
        <v>47</v>
      </c>
      <c r="AX217" s="143" t="s">
        <v>47</v>
      </c>
      <c r="AY217" s="135" t="s">
        <v>47</v>
      </c>
      <c r="AZ217" s="200">
        <v>0</v>
      </c>
      <c r="BA217" s="144" t="str">
        <f t="shared" si="23"/>
        <v>CF SHS 60 x 4</v>
      </c>
    </row>
    <row r="218" spans="1:53" s="146" customFormat="1">
      <c r="A218" s="128" t="s">
        <v>497</v>
      </c>
      <c r="B218" s="83">
        <f t="shared" si="18"/>
        <v>8.3278252296127988</v>
      </c>
      <c r="C218" s="130">
        <v>60</v>
      </c>
      <c r="D218" s="130">
        <v>60</v>
      </c>
      <c r="E218" s="131">
        <v>4</v>
      </c>
      <c r="F218" s="130"/>
      <c r="G218" s="130"/>
      <c r="H218" s="132">
        <v>6.7101521118726337</v>
      </c>
      <c r="I218" s="133">
        <v>6.8383715789784798</v>
      </c>
      <c r="J218" s="133">
        <v>854.79644737231001</v>
      </c>
      <c r="K218" s="133">
        <v>0.22626548245743669</v>
      </c>
      <c r="L218" s="134">
        <v>435510.74280897761</v>
      </c>
      <c r="M218" s="135">
        <v>14517.024760299253</v>
      </c>
      <c r="N218" s="135">
        <v>17642.855175524157</v>
      </c>
      <c r="O218" s="136">
        <v>22.571898146014721</v>
      </c>
      <c r="P218" s="135">
        <v>435510.74280897761</v>
      </c>
      <c r="Q218" s="135">
        <v>14517.024760299253</v>
      </c>
      <c r="R218" s="135">
        <v>17642.855175524157</v>
      </c>
      <c r="S218" s="133">
        <v>22.571898146014721</v>
      </c>
      <c r="T218" s="134">
        <v>728657.63200664509</v>
      </c>
      <c r="U218" s="171"/>
      <c r="V218" s="137">
        <v>1</v>
      </c>
      <c r="W218" s="138">
        <v>1</v>
      </c>
      <c r="X218" s="138">
        <v>1</v>
      </c>
      <c r="Y218" s="138">
        <v>1</v>
      </c>
      <c r="Z218" s="138">
        <v>1</v>
      </c>
      <c r="AA218" s="139">
        <v>1</v>
      </c>
      <c r="AB218" s="138">
        <v>1</v>
      </c>
      <c r="AC218" s="138">
        <v>1</v>
      </c>
      <c r="AD218" s="138">
        <v>1</v>
      </c>
      <c r="AE218" s="138">
        <v>1</v>
      </c>
      <c r="AF218" s="137">
        <v>1</v>
      </c>
      <c r="AG218" s="138">
        <v>1</v>
      </c>
      <c r="AH218" s="138">
        <v>1</v>
      </c>
      <c r="AI218" s="138">
        <v>1</v>
      </c>
      <c r="AJ218" s="138">
        <v>1</v>
      </c>
      <c r="AK218" s="93">
        <f t="shared" si="20"/>
        <v>264.70100940754833</v>
      </c>
      <c r="AM218" s="173"/>
      <c r="AN218" s="174"/>
      <c r="AO218" s="138" t="s">
        <v>49</v>
      </c>
      <c r="AP218" s="138">
        <f t="shared" si="24"/>
        <v>0.49</v>
      </c>
      <c r="AQ218" s="140">
        <f>IF(head!F$82="S235",235,IF(head!F$82="S275",275,IF(head!F$82="S355",355,IF(head!F$82="S420",420,460))))^0.5*head!$G$70*1000/(S218*3.1416*210000^0.5)</f>
        <v>5.7980980994551139</v>
      </c>
      <c r="AR218" s="140">
        <f t="shared" si="21"/>
        <v>18.680504819819003</v>
      </c>
      <c r="AS218" s="140">
        <f t="shared" si="22"/>
        <v>2.7443565881375368E-2</v>
      </c>
      <c r="AT218" s="141">
        <f>IF(head!F$82="S235",235,IF(head!F$82="S275",275,IF(head!F$82="S355",355,IF(head!F$82="S420",420,460))))*AS218*J218/1000</f>
        <v>8.3278252296127988</v>
      </c>
      <c r="AU218" s="199" t="s">
        <v>47</v>
      </c>
      <c r="AV218" s="142" t="s">
        <v>47</v>
      </c>
      <c r="AW218" s="142" t="s">
        <v>47</v>
      </c>
      <c r="AX218" s="143" t="s">
        <v>47</v>
      </c>
      <c r="AY218" s="135" t="s">
        <v>47</v>
      </c>
      <c r="AZ218" s="200">
        <v>0</v>
      </c>
      <c r="BA218" s="144" t="str">
        <f t="shared" si="23"/>
        <v>CF SHS 60 x 5</v>
      </c>
    </row>
    <row r="219" spans="1:53" s="146" customFormat="1">
      <c r="A219" s="128" t="s">
        <v>498</v>
      </c>
      <c r="B219" s="83">
        <f t="shared" si="18"/>
        <v>9.6720932479593955</v>
      </c>
      <c r="C219" s="130">
        <v>60</v>
      </c>
      <c r="D219" s="130">
        <v>60</v>
      </c>
      <c r="E219" s="131">
        <v>5</v>
      </c>
      <c r="F219" s="130"/>
      <c r="G219" s="130"/>
      <c r="H219" s="132">
        <v>8.12961267480099</v>
      </c>
      <c r="I219" s="133">
        <v>8.2849555921538744</v>
      </c>
      <c r="J219" s="133">
        <v>1035.6194490192345</v>
      </c>
      <c r="K219" s="133">
        <v>0.22283185307179587</v>
      </c>
      <c r="L219" s="134">
        <v>504944.22072287835</v>
      </c>
      <c r="M219" s="135">
        <v>16831.474024095947</v>
      </c>
      <c r="N219" s="135">
        <v>20879.055647051358</v>
      </c>
      <c r="O219" s="136">
        <v>22.081145729884355</v>
      </c>
      <c r="P219" s="135">
        <v>504944.22072287835</v>
      </c>
      <c r="Q219" s="135">
        <v>16831.474024095947</v>
      </c>
      <c r="R219" s="135">
        <v>20879.055647051358</v>
      </c>
      <c r="S219" s="133">
        <v>22.081145729884355</v>
      </c>
      <c r="T219" s="134">
        <v>866820.72761682898</v>
      </c>
      <c r="U219" s="171"/>
      <c r="V219" s="137">
        <v>1</v>
      </c>
      <c r="W219" s="138">
        <v>1</v>
      </c>
      <c r="X219" s="138">
        <v>1</v>
      </c>
      <c r="Y219" s="138">
        <v>1</v>
      </c>
      <c r="Z219" s="138">
        <v>1</v>
      </c>
      <c r="AA219" s="139">
        <v>1</v>
      </c>
      <c r="AB219" s="138">
        <v>1</v>
      </c>
      <c r="AC219" s="138">
        <v>1</v>
      </c>
      <c r="AD219" s="138">
        <v>1</v>
      </c>
      <c r="AE219" s="138">
        <v>1</v>
      </c>
      <c r="AF219" s="137">
        <v>1</v>
      </c>
      <c r="AG219" s="138">
        <v>1</v>
      </c>
      <c r="AH219" s="138">
        <v>1</v>
      </c>
      <c r="AI219" s="138">
        <v>1</v>
      </c>
      <c r="AJ219" s="138">
        <v>1</v>
      </c>
      <c r="AK219" s="93">
        <f t="shared" si="20"/>
        <v>215.167698214653</v>
      </c>
      <c r="AM219" s="173"/>
      <c r="AN219" s="174"/>
      <c r="AO219" s="138" t="s">
        <v>49</v>
      </c>
      <c r="AP219" s="138">
        <f t="shared" si="24"/>
        <v>0.49</v>
      </c>
      <c r="AQ219" s="140">
        <f>IF(head!F$82="S235",235,IF(head!F$82="S275",275,IF(head!F$82="S355",355,IF(head!F$82="S420",420,460))))^0.5*head!$G$70*1000/(S219*3.1416*210000^0.5)</f>
        <v>5.9269605546046904</v>
      </c>
      <c r="AR219" s="140">
        <f t="shared" si="21"/>
        <v>19.46753604379812</v>
      </c>
      <c r="AS219" s="140">
        <f t="shared" si="22"/>
        <v>2.6308247801492712E-2</v>
      </c>
      <c r="AT219" s="141">
        <f>IF(head!F$82="S235",235,IF(head!F$82="S275",275,IF(head!F$82="S355",355,IF(head!F$82="S420",420,460))))*AS219*J219/1000</f>
        <v>9.6720932479593955</v>
      </c>
      <c r="AU219" s="199" t="s">
        <v>47</v>
      </c>
      <c r="AV219" s="142" t="s">
        <v>47</v>
      </c>
      <c r="AW219" s="142" t="s">
        <v>47</v>
      </c>
      <c r="AX219" s="143" t="s">
        <v>47</v>
      </c>
      <c r="AY219" s="135" t="s">
        <v>47</v>
      </c>
      <c r="AZ219" s="200">
        <v>0</v>
      </c>
      <c r="BA219" s="144" t="str">
        <f t="shared" si="23"/>
        <v>CF SHS 60 x 6</v>
      </c>
    </row>
    <row r="220" spans="1:53" s="146" customFormat="1">
      <c r="A220" s="128" t="s">
        <v>499</v>
      </c>
      <c r="B220" s="83">
        <f t="shared" si="18"/>
        <v>10.757819987858898</v>
      </c>
      <c r="C220" s="130">
        <v>60</v>
      </c>
      <c r="D220" s="130">
        <v>60</v>
      </c>
      <c r="E220" s="131">
        <v>6</v>
      </c>
      <c r="F220" s="130"/>
      <c r="G220" s="130"/>
      <c r="H220" s="132">
        <v>9.445842251713426</v>
      </c>
      <c r="I220" s="133">
        <v>9.6263360527015802</v>
      </c>
      <c r="J220" s="133">
        <v>1203.2920065876976</v>
      </c>
      <c r="K220" s="133">
        <v>0.21939822368615503</v>
      </c>
      <c r="L220" s="134">
        <v>560654.75043086044</v>
      </c>
      <c r="M220" s="135">
        <v>18688.491681028685</v>
      </c>
      <c r="N220" s="135">
        <v>23675.25611857856</v>
      </c>
      <c r="O220" s="136">
        <v>21.585506178529428</v>
      </c>
      <c r="P220" s="135">
        <v>560654.75043086044</v>
      </c>
      <c r="Q220" s="135">
        <v>18688.491681028685</v>
      </c>
      <c r="R220" s="135">
        <v>23675.25611857856</v>
      </c>
      <c r="S220" s="133">
        <v>21.585506178529428</v>
      </c>
      <c r="T220" s="134">
        <v>986536.87644397095</v>
      </c>
      <c r="U220" s="171"/>
      <c r="V220" s="137">
        <v>1</v>
      </c>
      <c r="W220" s="138">
        <v>1</v>
      </c>
      <c r="X220" s="138">
        <v>1</v>
      </c>
      <c r="Y220" s="138">
        <v>1</v>
      </c>
      <c r="Z220" s="138">
        <v>1</v>
      </c>
      <c r="AA220" s="139">
        <v>1</v>
      </c>
      <c r="AB220" s="138">
        <v>1</v>
      </c>
      <c r="AC220" s="138">
        <v>1</v>
      </c>
      <c r="AD220" s="138">
        <v>1</v>
      </c>
      <c r="AE220" s="138">
        <v>1</v>
      </c>
      <c r="AF220" s="137">
        <v>1</v>
      </c>
      <c r="AG220" s="138">
        <v>1</v>
      </c>
      <c r="AH220" s="138">
        <v>1</v>
      </c>
      <c r="AI220" s="138">
        <v>1</v>
      </c>
      <c r="AJ220" s="138">
        <v>1</v>
      </c>
      <c r="AK220" s="93">
        <f t="shared" si="20"/>
        <v>182.33165556241477</v>
      </c>
      <c r="AM220" s="173"/>
      <c r="AN220" s="174"/>
      <c r="AO220" s="138" t="s">
        <v>49</v>
      </c>
      <c r="AP220" s="138">
        <f t="shared" si="24"/>
        <v>0.49</v>
      </c>
      <c r="AQ220" s="140">
        <f>IF(head!F$82="S235",235,IF(head!F$82="S275",275,IF(head!F$82="S355",355,IF(head!F$82="S420",420,460))))^0.5*head!$G$70*1000/(S220*3.1416*210000^0.5)</f>
        <v>6.0630535443120426</v>
      </c>
      <c r="AR220" s="140">
        <f t="shared" si="21"/>
        <v>20.316757258953864</v>
      </c>
      <c r="AS220" s="140">
        <f t="shared" si="22"/>
        <v>2.5184010289899895E-2</v>
      </c>
      <c r="AT220" s="141">
        <f>IF(head!F$82="S235",235,IF(head!F$82="S275",275,IF(head!F$82="S355",355,IF(head!F$82="S420",420,460))))*AS220*J220/1000</f>
        <v>10.757819987858898</v>
      </c>
      <c r="AU220" s="199" t="s">
        <v>47</v>
      </c>
      <c r="AV220" s="142" t="s">
        <v>47</v>
      </c>
      <c r="AW220" s="142" t="s">
        <v>47</v>
      </c>
      <c r="AX220" s="143" t="s">
        <v>47</v>
      </c>
      <c r="AY220" s="135" t="s">
        <v>47</v>
      </c>
      <c r="AZ220" s="200">
        <v>0</v>
      </c>
      <c r="BA220" s="144" t="str">
        <f t="shared" si="23"/>
        <v>CF SHS 70 x 2</v>
      </c>
    </row>
    <row r="221" spans="1:53" s="146" customFormat="1">
      <c r="A221" s="128" t="s">
        <v>500</v>
      </c>
      <c r="B221" s="83">
        <f t="shared" si="18"/>
        <v>7.6511600250715048</v>
      </c>
      <c r="C221" s="130">
        <v>70</v>
      </c>
      <c r="D221" s="130">
        <v>70</v>
      </c>
      <c r="E221" s="131">
        <v>2</v>
      </c>
      <c r="F221" s="130"/>
      <c r="G221" s="130"/>
      <c r="H221" s="132">
        <v>4.1895380279681582</v>
      </c>
      <c r="I221" s="133">
        <v>4.26959289474462</v>
      </c>
      <c r="J221" s="133">
        <v>533.6991118430775</v>
      </c>
      <c r="K221" s="133">
        <v>0.27313274122871839</v>
      </c>
      <c r="L221" s="134">
        <v>407260.0087070794</v>
      </c>
      <c r="M221" s="135">
        <v>11636.000248773698</v>
      </c>
      <c r="N221" s="135">
        <v>13519.33913380207</v>
      </c>
      <c r="O221" s="136">
        <v>27.624068550703925</v>
      </c>
      <c r="P221" s="135">
        <v>407260.0087070794</v>
      </c>
      <c r="Q221" s="135">
        <v>11636.000248773698</v>
      </c>
      <c r="R221" s="135">
        <v>13519.33913380207</v>
      </c>
      <c r="S221" s="133">
        <v>27.624068550703925</v>
      </c>
      <c r="T221" s="134">
        <v>640767.49766386196</v>
      </c>
      <c r="U221" s="171"/>
      <c r="V221" s="137">
        <v>1</v>
      </c>
      <c r="W221" s="138">
        <v>2</v>
      </c>
      <c r="X221" s="138">
        <v>3</v>
      </c>
      <c r="Y221" s="138">
        <v>3</v>
      </c>
      <c r="Z221" s="138">
        <v>4</v>
      </c>
      <c r="AA221" s="139">
        <v>2</v>
      </c>
      <c r="AB221" s="138">
        <v>3</v>
      </c>
      <c r="AC221" s="138">
        <v>4</v>
      </c>
      <c r="AD221" s="138">
        <v>4</v>
      </c>
      <c r="AE221" s="138">
        <v>4</v>
      </c>
      <c r="AF221" s="137">
        <v>1</v>
      </c>
      <c r="AG221" s="138">
        <v>2</v>
      </c>
      <c r="AH221" s="138">
        <v>3</v>
      </c>
      <c r="AI221" s="138">
        <v>3</v>
      </c>
      <c r="AJ221" s="138">
        <v>4</v>
      </c>
      <c r="AK221" s="93">
        <f t="shared" si="20"/>
        <v>511.77289818879643</v>
      </c>
      <c r="AM221" s="173"/>
      <c r="AN221" s="174"/>
      <c r="AO221" s="138" t="s">
        <v>49</v>
      </c>
      <c r="AP221" s="138">
        <f t="shared" si="24"/>
        <v>0.49</v>
      </c>
      <c r="AQ221" s="140">
        <f>IF(head!F$82="S235",235,IF(head!F$82="S275",275,IF(head!F$82="S355",355,IF(head!F$82="S420",420,460))))^0.5*head!$G$70*1000/(S221*3.1416*210000^0.5)</f>
        <v>4.7376829919634478</v>
      </c>
      <c r="AR221" s="140">
        <f t="shared" si="21"/>
        <v>12.834552399200907</v>
      </c>
      <c r="AS221" s="140">
        <f t="shared" si="22"/>
        <v>4.0383360160514387E-2</v>
      </c>
      <c r="AT221" s="141">
        <f>IF(head!F$82="S235",235,IF(head!F$82="S275",275,IF(head!F$82="S355",355,IF(head!F$82="S420",420,460))))*AS221*J221/1000</f>
        <v>7.6511600250715048</v>
      </c>
      <c r="AU221" s="199" t="s">
        <v>47</v>
      </c>
      <c r="AV221" s="142" t="s">
        <v>47</v>
      </c>
      <c r="AW221" s="142" t="s">
        <v>47</v>
      </c>
      <c r="AX221" s="143" t="s">
        <v>47</v>
      </c>
      <c r="AY221" s="135" t="s">
        <v>47</v>
      </c>
      <c r="AZ221" s="200">
        <v>0</v>
      </c>
      <c r="BA221" s="144" t="str">
        <f t="shared" si="23"/>
        <v>CF SHS 70 x 3</v>
      </c>
    </row>
    <row r="222" spans="1:53" s="146" customFormat="1">
      <c r="A222" s="128" t="s">
        <v>271</v>
      </c>
      <c r="B222" s="83">
        <f t="shared" si="18"/>
        <v>10.825734953393107</v>
      </c>
      <c r="C222" s="130">
        <v>70</v>
      </c>
      <c r="D222" s="130">
        <v>70</v>
      </c>
      <c r="E222" s="131">
        <v>3</v>
      </c>
      <c r="F222" s="130"/>
      <c r="G222" s="130"/>
      <c r="H222" s="132">
        <v>6.1294605629283572</v>
      </c>
      <c r="I222" s="133">
        <v>6.2465840131753962</v>
      </c>
      <c r="J222" s="133">
        <v>780.82300164692447</v>
      </c>
      <c r="K222" s="133">
        <v>0.26969911184307749</v>
      </c>
      <c r="L222" s="134">
        <v>575266.40315359132</v>
      </c>
      <c r="M222" s="135">
        <v>16436.182947245466</v>
      </c>
      <c r="N222" s="135">
        <v>19415.867047760807</v>
      </c>
      <c r="O222" s="136">
        <v>27.143022475459134</v>
      </c>
      <c r="P222" s="135">
        <v>575266.40315359132</v>
      </c>
      <c r="Q222" s="135">
        <v>16436.182947245466</v>
      </c>
      <c r="R222" s="135">
        <v>19415.867047760807</v>
      </c>
      <c r="S222" s="133">
        <v>27.143022475459134</v>
      </c>
      <c r="T222" s="134">
        <v>926545.50453087594</v>
      </c>
      <c r="U222" s="171"/>
      <c r="V222" s="137">
        <v>1</v>
      </c>
      <c r="W222" s="138">
        <v>1</v>
      </c>
      <c r="X222" s="138">
        <v>1</v>
      </c>
      <c r="Y222" s="138">
        <v>1</v>
      </c>
      <c r="Z222" s="138">
        <v>1</v>
      </c>
      <c r="AA222" s="139">
        <v>1</v>
      </c>
      <c r="AB222" s="138">
        <v>1</v>
      </c>
      <c r="AC222" s="138">
        <v>1</v>
      </c>
      <c r="AD222" s="138">
        <v>1</v>
      </c>
      <c r="AE222" s="138">
        <v>1</v>
      </c>
      <c r="AF222" s="137">
        <v>1</v>
      </c>
      <c r="AG222" s="138">
        <v>1</v>
      </c>
      <c r="AH222" s="138">
        <v>1</v>
      </c>
      <c r="AI222" s="138">
        <v>1</v>
      </c>
      <c r="AJ222" s="138">
        <v>1</v>
      </c>
      <c r="AK222" s="93">
        <f t="shared" si="20"/>
        <v>345.4036462478997</v>
      </c>
      <c r="AM222" s="173"/>
      <c r="AN222" s="174"/>
      <c r="AO222" s="138" t="s">
        <v>49</v>
      </c>
      <c r="AP222" s="138">
        <f t="shared" si="24"/>
        <v>0.49</v>
      </c>
      <c r="AQ222" s="140">
        <f>IF(head!F$82="S235",235,IF(head!F$82="S275",275,IF(head!F$82="S355",355,IF(head!F$82="S420",420,460))))^0.5*head!$G$70*1000/(S222*3.1416*210000^0.5)</f>
        <v>4.821647252432177</v>
      </c>
      <c r="AR222" s="140">
        <f t="shared" si="21"/>
        <v>13.256444690289264</v>
      </c>
      <c r="AS222" s="140">
        <f t="shared" si="22"/>
        <v>3.905498169675644E-2</v>
      </c>
      <c r="AT222" s="141">
        <f>IF(head!F$82="S235",235,IF(head!F$82="S275",275,IF(head!F$82="S355",355,IF(head!F$82="S420",420,460))))*AS222*J222/1000</f>
        <v>10.825734953393107</v>
      </c>
      <c r="AU222" s="199" t="s">
        <v>47</v>
      </c>
      <c r="AV222" s="142" t="s">
        <v>47</v>
      </c>
      <c r="AW222" s="142" t="s">
        <v>47</v>
      </c>
      <c r="AX222" s="143" t="s">
        <v>47</v>
      </c>
      <c r="AY222" s="135" t="s">
        <v>47</v>
      </c>
      <c r="AZ222" s="200">
        <v>0</v>
      </c>
      <c r="BA222" s="144" t="str">
        <f t="shared" si="23"/>
        <v>CF SHS 70 x 4</v>
      </c>
    </row>
    <row r="223" spans="1:53" s="146" customFormat="1">
      <c r="A223" s="128" t="s">
        <v>501</v>
      </c>
      <c r="B223" s="83">
        <f t="shared" si="18"/>
        <v>13.595116640725278</v>
      </c>
      <c r="C223" s="130">
        <v>70</v>
      </c>
      <c r="D223" s="130">
        <v>70</v>
      </c>
      <c r="E223" s="131">
        <v>4</v>
      </c>
      <c r="F223" s="130"/>
      <c r="G223" s="130"/>
      <c r="H223" s="132">
        <v>7.9661521118726339</v>
      </c>
      <c r="I223" s="133">
        <v>8.1183715789784809</v>
      </c>
      <c r="J223" s="133">
        <v>1014.79644737231</v>
      </c>
      <c r="K223" s="133">
        <v>0.2662654824574367</v>
      </c>
      <c r="L223" s="134">
        <v>721202.5390818601</v>
      </c>
      <c r="M223" s="135">
        <v>20605.786830910289</v>
      </c>
      <c r="N223" s="135">
        <v>24756.837412385707</v>
      </c>
      <c r="O223" s="136">
        <v>26.658711480496702</v>
      </c>
      <c r="P223" s="135">
        <v>721202.5390818601</v>
      </c>
      <c r="Q223" s="135">
        <v>20605.786830910289</v>
      </c>
      <c r="R223" s="135">
        <v>24756.837412385707</v>
      </c>
      <c r="S223" s="133">
        <v>26.658711480496702</v>
      </c>
      <c r="T223" s="134">
        <v>1188621.9245943299</v>
      </c>
      <c r="U223" s="171"/>
      <c r="V223" s="137">
        <v>1</v>
      </c>
      <c r="W223" s="138">
        <v>1</v>
      </c>
      <c r="X223" s="138">
        <v>1</v>
      </c>
      <c r="Y223" s="138">
        <v>1</v>
      </c>
      <c r="Z223" s="138">
        <v>1</v>
      </c>
      <c r="AA223" s="139">
        <v>1</v>
      </c>
      <c r="AB223" s="138">
        <v>1</v>
      </c>
      <c r="AC223" s="138">
        <v>1</v>
      </c>
      <c r="AD223" s="138">
        <v>1</v>
      </c>
      <c r="AE223" s="138">
        <v>1</v>
      </c>
      <c r="AF223" s="137">
        <v>1</v>
      </c>
      <c r="AG223" s="138">
        <v>1</v>
      </c>
      <c r="AH223" s="138">
        <v>1</v>
      </c>
      <c r="AI223" s="138">
        <v>1</v>
      </c>
      <c r="AJ223" s="138">
        <v>1</v>
      </c>
      <c r="AK223" s="93">
        <f t="shared" si="20"/>
        <v>262.38314407475337</v>
      </c>
      <c r="AM223" s="173"/>
      <c r="AN223" s="174"/>
      <c r="AO223" s="138" t="s">
        <v>49</v>
      </c>
      <c r="AP223" s="138">
        <f t="shared" si="24"/>
        <v>0.49</v>
      </c>
      <c r="AQ223" s="140">
        <f>IF(head!F$82="S235",235,IF(head!F$82="S275",275,IF(head!F$82="S355",355,IF(head!F$82="S420",420,460))))^0.5*head!$G$70*1000/(S223*3.1416*210000^0.5)</f>
        <v>4.9092425129867507</v>
      </c>
      <c r="AR223" s="140">
        <f t="shared" si="21"/>
        <v>13.704095441339989</v>
      </c>
      <c r="AS223" s="140">
        <f t="shared" si="22"/>
        <v>3.7737719039590327E-2</v>
      </c>
      <c r="AT223" s="141">
        <f>IF(head!F$82="S235",235,IF(head!F$82="S275",275,IF(head!F$82="S355",355,IF(head!F$82="S420",420,460))))*AS223*J223/1000</f>
        <v>13.595116640725278</v>
      </c>
      <c r="AU223" s="199" t="s">
        <v>47</v>
      </c>
      <c r="AV223" s="142" t="s">
        <v>47</v>
      </c>
      <c r="AW223" s="142" t="s">
        <v>47</v>
      </c>
      <c r="AX223" s="143" t="s">
        <v>47</v>
      </c>
      <c r="AY223" s="135" t="s">
        <v>47</v>
      </c>
      <c r="AZ223" s="200">
        <v>0</v>
      </c>
      <c r="BA223" s="144" t="str">
        <f t="shared" si="23"/>
        <v>CF SHS 70 x 5</v>
      </c>
    </row>
    <row r="224" spans="1:53" s="146" customFormat="1">
      <c r="A224" s="128" t="s">
        <v>502</v>
      </c>
      <c r="B224" s="83">
        <f t="shared" si="18"/>
        <v>15.980417876663271</v>
      </c>
      <c r="C224" s="130">
        <v>70</v>
      </c>
      <c r="D224" s="130">
        <v>70</v>
      </c>
      <c r="E224" s="131">
        <v>5</v>
      </c>
      <c r="F224" s="130"/>
      <c r="G224" s="130"/>
      <c r="H224" s="132">
        <v>9.6996126748009903</v>
      </c>
      <c r="I224" s="133">
        <v>9.8849555921538759</v>
      </c>
      <c r="J224" s="133">
        <v>1235.6194490192345</v>
      </c>
      <c r="K224" s="133">
        <v>0.26283185307179585</v>
      </c>
      <c r="L224" s="134">
        <v>846291.93008553924</v>
      </c>
      <c r="M224" s="135">
        <v>24179.769431015407</v>
      </c>
      <c r="N224" s="135">
        <v>29557.152892147529</v>
      </c>
      <c r="O224" s="136">
        <v>26.170844199417648</v>
      </c>
      <c r="P224" s="135">
        <v>846291.93008553924</v>
      </c>
      <c r="Q224" s="135">
        <v>24179.769431015407</v>
      </c>
      <c r="R224" s="135">
        <v>29557.152892147529</v>
      </c>
      <c r="S224" s="133">
        <v>26.170844199417648</v>
      </c>
      <c r="T224" s="134">
        <v>1426502.3790372799</v>
      </c>
      <c r="U224" s="171"/>
      <c r="V224" s="137">
        <v>1</v>
      </c>
      <c r="W224" s="138">
        <v>1</v>
      </c>
      <c r="X224" s="138">
        <v>1</v>
      </c>
      <c r="Y224" s="138">
        <v>1</v>
      </c>
      <c r="Z224" s="138">
        <v>1</v>
      </c>
      <c r="AA224" s="139">
        <v>1</v>
      </c>
      <c r="AB224" s="138">
        <v>1</v>
      </c>
      <c r="AC224" s="138">
        <v>1</v>
      </c>
      <c r="AD224" s="138">
        <v>1</v>
      </c>
      <c r="AE224" s="138">
        <v>1</v>
      </c>
      <c r="AF224" s="137">
        <v>1</v>
      </c>
      <c r="AG224" s="138">
        <v>1</v>
      </c>
      <c r="AH224" s="138">
        <v>1</v>
      </c>
      <c r="AI224" s="138">
        <v>1</v>
      </c>
      <c r="AJ224" s="138">
        <v>1</v>
      </c>
      <c r="AK224" s="93">
        <f t="shared" si="20"/>
        <v>212.71262222395177</v>
      </c>
      <c r="AM224" s="173"/>
      <c r="AN224" s="174"/>
      <c r="AO224" s="138" t="s">
        <v>49</v>
      </c>
      <c r="AP224" s="138">
        <f t="shared" si="24"/>
        <v>0.49</v>
      </c>
      <c r="AQ224" s="140">
        <f>IF(head!F$82="S235",235,IF(head!F$82="S275",275,IF(head!F$82="S355",355,IF(head!F$82="S420",420,460))))^0.5*head!$G$70*1000/(S224*3.1416*210000^0.5)</f>
        <v>5.0007588117625401</v>
      </c>
      <c r="AR224" s="140">
        <f t="shared" si="21"/>
        <v>14.179980255592168</v>
      </c>
      <c r="AS224" s="140">
        <f t="shared" si="22"/>
        <v>3.6431331394252635E-2</v>
      </c>
      <c r="AT224" s="141">
        <f>IF(head!F$82="S235",235,IF(head!F$82="S275",275,IF(head!F$82="S355",355,IF(head!F$82="S420",420,460))))*AS224*J224/1000</f>
        <v>15.980417876663271</v>
      </c>
      <c r="AU224" s="199" t="s">
        <v>47</v>
      </c>
      <c r="AV224" s="142" t="s">
        <v>47</v>
      </c>
      <c r="AW224" s="142" t="s">
        <v>47</v>
      </c>
      <c r="AX224" s="143" t="s">
        <v>47</v>
      </c>
      <c r="AY224" s="135" t="s">
        <v>47</v>
      </c>
      <c r="AZ224" s="200">
        <v>0</v>
      </c>
      <c r="BA224" s="144" t="str">
        <f t="shared" si="23"/>
        <v>CF SHS 70 x 6</v>
      </c>
    </row>
    <row r="225" spans="1:53" s="146" customFormat="1">
      <c r="A225" s="128" t="s">
        <v>503</v>
      </c>
      <c r="B225" s="83">
        <f t="shared" si="18"/>
        <v>18.002350645811489</v>
      </c>
      <c r="C225" s="130">
        <v>70</v>
      </c>
      <c r="D225" s="130">
        <v>70</v>
      </c>
      <c r="E225" s="131">
        <v>6</v>
      </c>
      <c r="F225" s="130"/>
      <c r="G225" s="130"/>
      <c r="H225" s="132">
        <v>11.329842251713426</v>
      </c>
      <c r="I225" s="133">
        <v>11.54633605270158</v>
      </c>
      <c r="J225" s="133">
        <v>1443.2920065876976</v>
      </c>
      <c r="K225" s="133">
        <v>0.25939822368615501</v>
      </c>
      <c r="L225" s="134">
        <v>951729.61178133846</v>
      </c>
      <c r="M225" s="135">
        <v>27192.274622323956</v>
      </c>
      <c r="N225" s="135">
        <v>33831.716151517052</v>
      </c>
      <c r="O225" s="136">
        <v>25.679093453976325</v>
      </c>
      <c r="P225" s="135">
        <v>951729.61178133846</v>
      </c>
      <c r="Q225" s="135">
        <v>27192.274622323956</v>
      </c>
      <c r="R225" s="135">
        <v>33831.716151517052</v>
      </c>
      <c r="S225" s="133">
        <v>25.679093453976325</v>
      </c>
      <c r="T225" s="134">
        <v>1639687.1878260199</v>
      </c>
      <c r="U225" s="171"/>
      <c r="V225" s="137">
        <v>1</v>
      </c>
      <c r="W225" s="138">
        <v>1</v>
      </c>
      <c r="X225" s="138">
        <v>1</v>
      </c>
      <c r="Y225" s="138">
        <v>1</v>
      </c>
      <c r="Z225" s="138">
        <v>1</v>
      </c>
      <c r="AA225" s="139">
        <v>1</v>
      </c>
      <c r="AB225" s="138">
        <v>1</v>
      </c>
      <c r="AC225" s="138">
        <v>1</v>
      </c>
      <c r="AD225" s="138">
        <v>1</v>
      </c>
      <c r="AE225" s="138">
        <v>1</v>
      </c>
      <c r="AF225" s="137">
        <v>1</v>
      </c>
      <c r="AG225" s="138">
        <v>1</v>
      </c>
      <c r="AH225" s="138">
        <v>1</v>
      </c>
      <c r="AI225" s="138">
        <v>1</v>
      </c>
      <c r="AJ225" s="138">
        <v>1</v>
      </c>
      <c r="AK225" s="93">
        <f t="shared" si="20"/>
        <v>179.7267791286651</v>
      </c>
      <c r="AM225" s="173"/>
      <c r="AN225" s="174"/>
      <c r="AO225" s="138" t="s">
        <v>49</v>
      </c>
      <c r="AP225" s="138">
        <f t="shared" si="24"/>
        <v>0.49</v>
      </c>
      <c r="AQ225" s="140">
        <f>IF(head!F$82="S235",235,IF(head!F$82="S275",275,IF(head!F$82="S355",355,IF(head!F$82="S420",420,460))))^0.5*head!$G$70*1000/(S225*3.1416*210000^0.5)</f>
        <v>5.096522584648989</v>
      </c>
      <c r="AR225" s="140">
        <f t="shared" si="21"/>
        <v>14.686919261157609</v>
      </c>
      <c r="AS225" s="140">
        <f t="shared" si="22"/>
        <v>3.5135541981904911E-2</v>
      </c>
      <c r="AT225" s="141">
        <f>IF(head!F$82="S235",235,IF(head!F$82="S275",275,IF(head!F$82="S355",355,IF(head!F$82="S420",420,460))))*AS225*J225/1000</f>
        <v>18.002350645811489</v>
      </c>
      <c r="AU225" s="199" t="s">
        <v>47</v>
      </c>
      <c r="AV225" s="142" t="s">
        <v>47</v>
      </c>
      <c r="AW225" s="142" t="s">
        <v>47</v>
      </c>
      <c r="AX225" s="143" t="s">
        <v>47</v>
      </c>
      <c r="AY225" s="135" t="s">
        <v>47</v>
      </c>
      <c r="AZ225" s="200">
        <v>0</v>
      </c>
      <c r="BA225" s="144" t="str">
        <f t="shared" si="23"/>
        <v>CF SHS 80 x 3</v>
      </c>
    </row>
    <row r="226" spans="1:53" s="146" customFormat="1">
      <c r="A226" s="128" t="s">
        <v>272</v>
      </c>
      <c r="B226" s="83">
        <f t="shared" si="18"/>
        <v>16.294857571529676</v>
      </c>
      <c r="C226" s="130">
        <v>80</v>
      </c>
      <c r="D226" s="130">
        <v>80</v>
      </c>
      <c r="E226" s="131">
        <v>3</v>
      </c>
      <c r="F226" s="130"/>
      <c r="G226" s="130"/>
      <c r="H226" s="132">
        <v>7.0714605629283565</v>
      </c>
      <c r="I226" s="133">
        <v>7.2065840131753953</v>
      </c>
      <c r="J226" s="133">
        <v>900.82300164692447</v>
      </c>
      <c r="K226" s="133">
        <v>0.30969911184307752</v>
      </c>
      <c r="L226" s="134">
        <v>878425.64867237257</v>
      </c>
      <c r="M226" s="135">
        <v>21960.641216809316</v>
      </c>
      <c r="N226" s="135">
        <v>25779.982055995431</v>
      </c>
      <c r="O226" s="136">
        <v>31.227180281315597</v>
      </c>
      <c r="P226" s="135">
        <v>878425.64867237257</v>
      </c>
      <c r="Q226" s="135">
        <v>21960.641216809316</v>
      </c>
      <c r="R226" s="135">
        <v>25779.982055995431</v>
      </c>
      <c r="S226" s="133">
        <v>31.227180281315597</v>
      </c>
      <c r="T226" s="134">
        <v>1402518.4668239499</v>
      </c>
      <c r="U226" s="171"/>
      <c r="V226" s="137">
        <v>1</v>
      </c>
      <c r="W226" s="138">
        <v>1</v>
      </c>
      <c r="X226" s="138">
        <v>1</v>
      </c>
      <c r="Y226" s="138">
        <v>1</v>
      </c>
      <c r="Z226" s="138">
        <v>1</v>
      </c>
      <c r="AA226" s="139">
        <v>1</v>
      </c>
      <c r="AB226" s="138">
        <v>1</v>
      </c>
      <c r="AC226" s="138">
        <v>1</v>
      </c>
      <c r="AD226" s="138">
        <v>2</v>
      </c>
      <c r="AE226" s="138">
        <v>2</v>
      </c>
      <c r="AF226" s="137">
        <v>1</v>
      </c>
      <c r="AG226" s="138">
        <v>1</v>
      </c>
      <c r="AH226" s="138">
        <v>1</v>
      </c>
      <c r="AI226" s="138">
        <v>1</v>
      </c>
      <c r="AJ226" s="138">
        <v>1</v>
      </c>
      <c r="AK226" s="93">
        <f t="shared" si="20"/>
        <v>343.79574153509833</v>
      </c>
      <c r="AM226" s="173"/>
      <c r="AN226" s="174"/>
      <c r="AO226" s="138" t="s">
        <v>49</v>
      </c>
      <c r="AP226" s="138">
        <f t="shared" si="24"/>
        <v>0.49</v>
      </c>
      <c r="AQ226" s="140">
        <f>IF(head!F$82="S235",235,IF(head!F$82="S275",275,IF(head!F$82="S355",355,IF(head!F$82="S420",420,460))))^0.5*head!$G$70*1000/(S226*3.1416*210000^0.5)</f>
        <v>4.1910309724573267</v>
      </c>
      <c r="AR226" s="140">
        <f t="shared" si="21"/>
        <v>10.260172894300348</v>
      </c>
      <c r="AS226" s="140">
        <f t="shared" si="22"/>
        <v>5.0954523985097304E-2</v>
      </c>
      <c r="AT226" s="141">
        <f>IF(head!F$82="S235",235,IF(head!F$82="S275",275,IF(head!F$82="S355",355,IF(head!F$82="S420",420,460))))*AS226*J226/1000</f>
        <v>16.294857571529676</v>
      </c>
      <c r="AU226" s="199" t="s">
        <v>47</v>
      </c>
      <c r="AV226" s="142" t="s">
        <v>47</v>
      </c>
      <c r="AW226" s="142" t="s">
        <v>47</v>
      </c>
      <c r="AX226" s="143" t="s">
        <v>47</v>
      </c>
      <c r="AY226" s="135" t="s">
        <v>47</v>
      </c>
      <c r="AZ226" s="200">
        <v>0</v>
      </c>
      <c r="BA226" s="144" t="str">
        <f t="shared" si="23"/>
        <v>CF SHS 80 x 4</v>
      </c>
    </row>
    <row r="227" spans="1:53" s="146" customFormat="1">
      <c r="A227" s="128" t="s">
        <v>273</v>
      </c>
      <c r="B227" s="83">
        <f t="shared" si="18"/>
        <v>20.633800002979815</v>
      </c>
      <c r="C227" s="130">
        <v>80</v>
      </c>
      <c r="D227" s="130">
        <v>80</v>
      </c>
      <c r="E227" s="131">
        <v>4</v>
      </c>
      <c r="F227" s="130"/>
      <c r="G227" s="130"/>
      <c r="H227" s="132">
        <v>9.2221521118726333</v>
      </c>
      <c r="I227" s="133">
        <v>9.3983715789784803</v>
      </c>
      <c r="J227" s="133">
        <v>1174.79644737231</v>
      </c>
      <c r="K227" s="133">
        <v>0.30626548245743668</v>
      </c>
      <c r="L227" s="134">
        <v>1110434.1577233586</v>
      </c>
      <c r="M227" s="135">
        <v>27760.853943083966</v>
      </c>
      <c r="N227" s="135">
        <v>33070.819649247256</v>
      </c>
      <c r="O227" s="136">
        <v>30.744334313344876</v>
      </c>
      <c r="P227" s="135">
        <v>1110434.1577233586</v>
      </c>
      <c r="Q227" s="135">
        <v>27760.853943083966</v>
      </c>
      <c r="R227" s="135">
        <v>33070.819649247256</v>
      </c>
      <c r="S227" s="133">
        <v>30.744334313344876</v>
      </c>
      <c r="T227" s="134">
        <v>1809297.5793061501</v>
      </c>
      <c r="U227" s="171"/>
      <c r="V227" s="137">
        <v>1</v>
      </c>
      <c r="W227" s="138">
        <v>1</v>
      </c>
      <c r="X227" s="138">
        <v>1</v>
      </c>
      <c r="Y227" s="138">
        <v>1</v>
      </c>
      <c r="Z227" s="138">
        <v>1</v>
      </c>
      <c r="AA227" s="139">
        <v>1</v>
      </c>
      <c r="AB227" s="138">
        <v>1</v>
      </c>
      <c r="AC227" s="138">
        <v>1</v>
      </c>
      <c r="AD227" s="138">
        <v>1</v>
      </c>
      <c r="AE227" s="138">
        <v>1</v>
      </c>
      <c r="AF227" s="137">
        <v>1</v>
      </c>
      <c r="AG227" s="138">
        <v>1</v>
      </c>
      <c r="AH227" s="138">
        <v>1</v>
      </c>
      <c r="AI227" s="138">
        <v>1</v>
      </c>
      <c r="AJ227" s="138">
        <v>1</v>
      </c>
      <c r="AK227" s="93">
        <f t="shared" si="20"/>
        <v>260.69663654709427</v>
      </c>
      <c r="AM227" s="173"/>
      <c r="AN227" s="174"/>
      <c r="AO227" s="138" t="s">
        <v>49</v>
      </c>
      <c r="AP227" s="138">
        <f t="shared" si="24"/>
        <v>0.49</v>
      </c>
      <c r="AQ227" s="140">
        <f>IF(head!F$82="S235",235,IF(head!F$82="S275",275,IF(head!F$82="S355",355,IF(head!F$82="S420",420,460))))^0.5*head!$G$70*1000/(S227*3.1416*210000^0.5)</f>
        <v>4.2568519587264317</v>
      </c>
      <c r="AR227" s="140">
        <f t="shared" si="21"/>
        <v>10.554323029144506</v>
      </c>
      <c r="AS227" s="140">
        <f t="shared" si="22"/>
        <v>4.947527754283703E-2</v>
      </c>
      <c r="AT227" s="141">
        <f>IF(head!F$82="S235",235,IF(head!F$82="S275",275,IF(head!F$82="S355",355,IF(head!F$82="S420",420,460))))*AS227*J227/1000</f>
        <v>20.633800002979815</v>
      </c>
      <c r="AU227" s="199" t="s">
        <v>47</v>
      </c>
      <c r="AV227" s="142" t="s">
        <v>47</v>
      </c>
      <c r="AW227" s="142" t="s">
        <v>47</v>
      </c>
      <c r="AX227" s="143" t="s">
        <v>47</v>
      </c>
      <c r="AY227" s="135" t="s">
        <v>47</v>
      </c>
      <c r="AZ227" s="200">
        <v>0</v>
      </c>
      <c r="BA227" s="144" t="str">
        <f t="shared" si="23"/>
        <v>CF SHS 80 x 5</v>
      </c>
    </row>
    <row r="228" spans="1:53" s="146" customFormat="1">
      <c r="A228" s="128" t="s">
        <v>504</v>
      </c>
      <c r="B228" s="83">
        <f t="shared" si="18"/>
        <v>24.466133048691162</v>
      </c>
      <c r="C228" s="130">
        <v>80</v>
      </c>
      <c r="D228" s="130">
        <v>80</v>
      </c>
      <c r="E228" s="131">
        <v>5</v>
      </c>
      <c r="F228" s="130"/>
      <c r="G228" s="130"/>
      <c r="H228" s="132">
        <v>11.269612674800989</v>
      </c>
      <c r="I228" s="133">
        <v>11.484955592153874</v>
      </c>
      <c r="J228" s="133">
        <v>1435.6194490192345</v>
      </c>
      <c r="K228" s="133">
        <v>0.30283185307179589</v>
      </c>
      <c r="L228" s="134">
        <v>1314420.6118991622</v>
      </c>
      <c r="M228" s="135">
        <v>32860.515297479054</v>
      </c>
      <c r="N228" s="135">
        <v>39735.250137243696</v>
      </c>
      <c r="O228" s="136">
        <v>30.258508273605536</v>
      </c>
      <c r="P228" s="135">
        <v>1314420.6118991622</v>
      </c>
      <c r="Q228" s="135">
        <v>32860.515297479054</v>
      </c>
      <c r="R228" s="135">
        <v>39735.250137243696</v>
      </c>
      <c r="S228" s="133">
        <v>30.258508273605536</v>
      </c>
      <c r="T228" s="134">
        <v>2184799.4225967298</v>
      </c>
      <c r="U228" s="171"/>
      <c r="V228" s="137">
        <v>1</v>
      </c>
      <c r="W228" s="138">
        <v>1</v>
      </c>
      <c r="X228" s="138">
        <v>1</v>
      </c>
      <c r="Y228" s="138">
        <v>1</v>
      </c>
      <c r="Z228" s="138">
        <v>1</v>
      </c>
      <c r="AA228" s="139">
        <v>1</v>
      </c>
      <c r="AB228" s="138">
        <v>1</v>
      </c>
      <c r="AC228" s="138">
        <v>1</v>
      </c>
      <c r="AD228" s="138">
        <v>1</v>
      </c>
      <c r="AE228" s="138">
        <v>1</v>
      </c>
      <c r="AF228" s="137">
        <v>1</v>
      </c>
      <c r="AG228" s="138">
        <v>1</v>
      </c>
      <c r="AH228" s="138">
        <v>1</v>
      </c>
      <c r="AI228" s="138">
        <v>1</v>
      </c>
      <c r="AJ228" s="138">
        <v>1</v>
      </c>
      <c r="AK228" s="93">
        <f t="shared" si="20"/>
        <v>210.94159268926046</v>
      </c>
      <c r="AM228" s="173"/>
      <c r="AN228" s="174"/>
      <c r="AO228" s="138" t="s">
        <v>49</v>
      </c>
      <c r="AP228" s="138">
        <f t="shared" si="24"/>
        <v>0.49</v>
      </c>
      <c r="AQ228" s="140">
        <f>IF(head!F$82="S235",235,IF(head!F$82="S275",275,IF(head!F$82="S355",355,IF(head!F$82="S420",420,460))))^0.5*head!$G$70*1000/(S228*3.1416*210000^0.5)</f>
        <v>4.3251993309816816</v>
      </c>
      <c r="AR228" s="140">
        <f t="shared" si="21"/>
        <v>10.864348462452705</v>
      </c>
      <c r="AS228" s="140">
        <f t="shared" si="22"/>
        <v>4.8006235002795009E-2</v>
      </c>
      <c r="AT228" s="141">
        <f>IF(head!F$82="S235",235,IF(head!F$82="S275",275,IF(head!F$82="S355",355,IF(head!F$82="S420",420,460))))*AS228*J228/1000</f>
        <v>24.466133048691162</v>
      </c>
      <c r="AU228" s="199" t="s">
        <v>47</v>
      </c>
      <c r="AV228" s="142" t="s">
        <v>47</v>
      </c>
      <c r="AW228" s="142" t="s">
        <v>47</v>
      </c>
      <c r="AX228" s="143" t="s">
        <v>47</v>
      </c>
      <c r="AY228" s="135" t="s">
        <v>47</v>
      </c>
      <c r="AZ228" s="200">
        <v>0</v>
      </c>
      <c r="BA228" s="144" t="str">
        <f t="shared" si="23"/>
        <v>CF SHS 80 x 6</v>
      </c>
    </row>
    <row r="229" spans="1:53" s="146" customFormat="1">
      <c r="A229" s="128" t="s">
        <v>505</v>
      </c>
      <c r="B229" s="83">
        <f t="shared" si="18"/>
        <v>27.81514004843519</v>
      </c>
      <c r="C229" s="130">
        <v>80</v>
      </c>
      <c r="D229" s="130">
        <v>80</v>
      </c>
      <c r="E229" s="131">
        <v>6</v>
      </c>
      <c r="F229" s="130"/>
      <c r="G229" s="130"/>
      <c r="H229" s="132">
        <v>13.213842251713427</v>
      </c>
      <c r="I229" s="133">
        <v>13.466336052701582</v>
      </c>
      <c r="J229" s="133">
        <v>1683.2920065876976</v>
      </c>
      <c r="K229" s="133">
        <v>0.29939822368615499</v>
      </c>
      <c r="L229" s="134">
        <v>1491769.0734612015</v>
      </c>
      <c r="M229" s="135">
        <v>37294.226836530033</v>
      </c>
      <c r="N229" s="135">
        <v>45788.176184455537</v>
      </c>
      <c r="O229" s="136">
        <v>29.76946769412978</v>
      </c>
      <c r="P229" s="135">
        <v>1491769.0734612015</v>
      </c>
      <c r="Q229" s="135">
        <v>37294.226836530033</v>
      </c>
      <c r="R229" s="135">
        <v>45788.176184455537</v>
      </c>
      <c r="S229" s="133">
        <v>29.76946769412978</v>
      </c>
      <c r="T229" s="134">
        <v>2528453.9325885801</v>
      </c>
      <c r="U229" s="171"/>
      <c r="V229" s="137">
        <v>1</v>
      </c>
      <c r="W229" s="138">
        <v>1</v>
      </c>
      <c r="X229" s="138">
        <v>1</v>
      </c>
      <c r="Y229" s="138">
        <v>1</v>
      </c>
      <c r="Z229" s="138">
        <v>1</v>
      </c>
      <c r="AA229" s="139">
        <v>1</v>
      </c>
      <c r="AB229" s="138">
        <v>1</v>
      </c>
      <c r="AC229" s="138">
        <v>1</v>
      </c>
      <c r="AD229" s="138">
        <v>1</v>
      </c>
      <c r="AE229" s="138">
        <v>1</v>
      </c>
      <c r="AF229" s="137">
        <v>1</v>
      </c>
      <c r="AG229" s="138">
        <v>1</v>
      </c>
      <c r="AH229" s="138">
        <v>1</v>
      </c>
      <c r="AI229" s="138">
        <v>1</v>
      </c>
      <c r="AJ229" s="138">
        <v>1</v>
      </c>
      <c r="AK229" s="93">
        <f t="shared" si="20"/>
        <v>177.86469757738772</v>
      </c>
      <c r="AM229" s="173"/>
      <c r="AN229" s="174"/>
      <c r="AO229" s="138" t="s">
        <v>49</v>
      </c>
      <c r="AP229" s="138">
        <f t="shared" si="24"/>
        <v>0.49</v>
      </c>
      <c r="AQ229" s="140">
        <f>IF(head!F$82="S235",235,IF(head!F$82="S275",275,IF(head!F$82="S355",355,IF(head!F$82="S420",420,460))))^0.5*head!$G$70*1000/(S229*3.1416*210000^0.5)</f>
        <v>4.3962519278538972</v>
      </c>
      <c r="AR229" s="140">
        <f t="shared" si="21"/>
        <v>11.191597228903758</v>
      </c>
      <c r="AS229" s="140">
        <f t="shared" si="22"/>
        <v>4.6547186627187612E-2</v>
      </c>
      <c r="AT229" s="141">
        <f>IF(head!F$82="S235",235,IF(head!F$82="S275",275,IF(head!F$82="S355",355,IF(head!F$82="S420",420,460))))*AS229*J229/1000</f>
        <v>27.81514004843519</v>
      </c>
      <c r="AU229" s="199" t="s">
        <v>47</v>
      </c>
      <c r="AV229" s="142" t="s">
        <v>47</v>
      </c>
      <c r="AW229" s="142" t="s">
        <v>47</v>
      </c>
      <c r="AX229" s="143" t="s">
        <v>47</v>
      </c>
      <c r="AY229" s="135" t="s">
        <v>47</v>
      </c>
      <c r="AZ229" s="200">
        <v>0</v>
      </c>
      <c r="BA229" s="144" t="str">
        <f t="shared" si="23"/>
        <v>CF SHS 80 x 8</v>
      </c>
    </row>
    <row r="230" spans="1:53" s="146" customFormat="1">
      <c r="A230" s="128" t="s">
        <v>506</v>
      </c>
      <c r="B230" s="83">
        <f t="shared" si="18"/>
        <v>31.544251485920842</v>
      </c>
      <c r="C230" s="130">
        <v>80</v>
      </c>
      <c r="D230" s="130">
        <v>80</v>
      </c>
      <c r="E230" s="131">
        <v>8</v>
      </c>
      <c r="F230" s="130"/>
      <c r="G230" s="130"/>
      <c r="H230" s="132">
        <v>16.361344596654046</v>
      </c>
      <c r="I230" s="133">
        <v>16.673981754551892</v>
      </c>
      <c r="J230" s="133">
        <v>2084.247719318987</v>
      </c>
      <c r="K230" s="133">
        <v>0.28566370614359177</v>
      </c>
      <c r="L230" s="134">
        <v>1683770.1108883107</v>
      </c>
      <c r="M230" s="135">
        <v>42094.252772207765</v>
      </c>
      <c r="N230" s="135">
        <v>53887.621053046409</v>
      </c>
      <c r="O230" s="136">
        <v>28.422791583010692</v>
      </c>
      <c r="P230" s="135">
        <v>1683770.1108883107</v>
      </c>
      <c r="Q230" s="135">
        <v>42094.252772207765</v>
      </c>
      <c r="R230" s="135">
        <v>53887.621053046409</v>
      </c>
      <c r="S230" s="133">
        <v>28.422791583010692</v>
      </c>
      <c r="T230" s="134">
        <v>3072938.3775841901</v>
      </c>
      <c r="U230" s="171"/>
      <c r="V230" s="137">
        <v>1</v>
      </c>
      <c r="W230" s="138">
        <v>1</v>
      </c>
      <c r="X230" s="138">
        <v>1</v>
      </c>
      <c r="Y230" s="138">
        <v>1</v>
      </c>
      <c r="Z230" s="138">
        <v>1</v>
      </c>
      <c r="AA230" s="139">
        <v>1</v>
      </c>
      <c r="AB230" s="138">
        <v>1</v>
      </c>
      <c r="AC230" s="138">
        <v>1</v>
      </c>
      <c r="AD230" s="138">
        <v>1</v>
      </c>
      <c r="AE230" s="138">
        <v>1</v>
      </c>
      <c r="AF230" s="137">
        <v>1</v>
      </c>
      <c r="AG230" s="138">
        <v>1</v>
      </c>
      <c r="AH230" s="138">
        <v>1</v>
      </c>
      <c r="AI230" s="138">
        <v>1</v>
      </c>
      <c r="AJ230" s="138">
        <v>1</v>
      </c>
      <c r="AK230" s="93">
        <f t="shared" si="20"/>
        <v>137.05842328421994</v>
      </c>
      <c r="AM230" s="173"/>
      <c r="AN230" s="174"/>
      <c r="AO230" s="138" t="s">
        <v>49</v>
      </c>
      <c r="AP230" s="138">
        <f t="shared" si="24"/>
        <v>0.49</v>
      </c>
      <c r="AQ230" s="140">
        <f>IF(head!F$82="S235",235,IF(head!F$82="S275",275,IF(head!F$82="S355",355,IF(head!F$82="S420",420,460))))^0.5*head!$G$70*1000/(S230*3.1416*210000^0.5)</f>
        <v>4.6045470009262006</v>
      </c>
      <c r="AR230" s="140">
        <f t="shared" si="21"/>
        <v>12.180040557096154</v>
      </c>
      <c r="AS230" s="140">
        <f t="shared" si="22"/>
        <v>4.2632670586895037E-2</v>
      </c>
      <c r="AT230" s="141">
        <f>IF(head!F$82="S235",235,IF(head!F$82="S275",275,IF(head!F$82="S355",355,IF(head!F$82="S420",420,460))))*AS230*J230/1000</f>
        <v>31.544251485920842</v>
      </c>
      <c r="AU230" s="199" t="s">
        <v>47</v>
      </c>
      <c r="AV230" s="142" t="s">
        <v>47</v>
      </c>
      <c r="AW230" s="142" t="s">
        <v>47</v>
      </c>
      <c r="AX230" s="143" t="s">
        <v>47</v>
      </c>
      <c r="AY230" s="135" t="s">
        <v>47</v>
      </c>
      <c r="AZ230" s="200">
        <v>0</v>
      </c>
      <c r="BA230" s="144" t="str">
        <f t="shared" si="23"/>
        <v>CF SHS 90 x 3</v>
      </c>
    </row>
    <row r="231" spans="1:53" s="146" customFormat="1">
      <c r="A231" s="128" t="s">
        <v>507</v>
      </c>
      <c r="B231" s="83">
        <f t="shared" si="18"/>
        <v>23.270695448945879</v>
      </c>
      <c r="C231" s="130">
        <v>90</v>
      </c>
      <c r="D231" s="130">
        <v>90</v>
      </c>
      <c r="E231" s="131">
        <v>3</v>
      </c>
      <c r="F231" s="130"/>
      <c r="G231" s="130"/>
      <c r="H231" s="132">
        <v>8.0134605629283566</v>
      </c>
      <c r="I231" s="133">
        <v>8.1665840131753953</v>
      </c>
      <c r="J231" s="133">
        <v>1020.8230016469245</v>
      </c>
      <c r="K231" s="133">
        <v>0.3496991118430775</v>
      </c>
      <c r="L231" s="134">
        <v>1272826.0442735001</v>
      </c>
      <c r="M231" s="135">
        <v>28285.023206077782</v>
      </c>
      <c r="N231" s="135">
        <v>33044.097064230053</v>
      </c>
      <c r="O231" s="136">
        <v>35.310941956358604</v>
      </c>
      <c r="P231" s="135">
        <v>1272826.0442735001</v>
      </c>
      <c r="Q231" s="135">
        <v>28285.023206077782</v>
      </c>
      <c r="R231" s="135">
        <v>33044.097064230053</v>
      </c>
      <c r="S231" s="133">
        <v>35.310941956358604</v>
      </c>
      <c r="T231" s="134">
        <v>2018389.8425640101</v>
      </c>
      <c r="U231" s="171"/>
      <c r="V231" s="137">
        <v>1</v>
      </c>
      <c r="W231" s="138">
        <v>1</v>
      </c>
      <c r="X231" s="138">
        <v>1</v>
      </c>
      <c r="Y231" s="138">
        <v>2</v>
      </c>
      <c r="Z231" s="138">
        <v>2</v>
      </c>
      <c r="AA231" s="139">
        <v>1</v>
      </c>
      <c r="AB231" s="138">
        <v>2</v>
      </c>
      <c r="AC231" s="138">
        <v>2</v>
      </c>
      <c r="AD231" s="138">
        <v>3</v>
      </c>
      <c r="AE231" s="138">
        <v>4</v>
      </c>
      <c r="AF231" s="137">
        <v>1</v>
      </c>
      <c r="AG231" s="138">
        <v>1</v>
      </c>
      <c r="AH231" s="138">
        <v>1</v>
      </c>
      <c r="AI231" s="138">
        <v>2</v>
      </c>
      <c r="AJ231" s="138">
        <v>2</v>
      </c>
      <c r="AK231" s="93">
        <f t="shared" si="20"/>
        <v>342.56586232764874</v>
      </c>
      <c r="AM231" s="173"/>
      <c r="AN231" s="174"/>
      <c r="AO231" s="138" t="s">
        <v>49</v>
      </c>
      <c r="AP231" s="138">
        <f t="shared" si="24"/>
        <v>0.49</v>
      </c>
      <c r="AQ231" s="140">
        <f>IF(head!F$82="S235",235,IF(head!F$82="S275",275,IF(head!F$82="S355",355,IF(head!F$82="S420",420,460))))^0.5*head!$G$70*1000/(S231*3.1416*210000^0.5)</f>
        <v>3.7063321591152074</v>
      </c>
      <c r="AR231" s="140">
        <f t="shared" si="21"/>
        <v>8.2275004158290237</v>
      </c>
      <c r="AS231" s="140">
        <f t="shared" si="22"/>
        <v>6.42141239764457E-2</v>
      </c>
      <c r="AT231" s="141">
        <f>IF(head!F$82="S235",235,IF(head!F$82="S275",275,IF(head!F$82="S355",355,IF(head!F$82="S420",420,460))))*AS231*J231/1000</f>
        <v>23.270695448945879</v>
      </c>
      <c r="AU231" s="199" t="s">
        <v>47</v>
      </c>
      <c r="AV231" s="142" t="s">
        <v>47</v>
      </c>
      <c r="AW231" s="142" t="s">
        <v>47</v>
      </c>
      <c r="AX231" s="143" t="s">
        <v>47</v>
      </c>
      <c r="AY231" s="135" t="s">
        <v>47</v>
      </c>
      <c r="AZ231" s="200">
        <v>0</v>
      </c>
      <c r="BA231" s="144" t="str">
        <f t="shared" si="23"/>
        <v>CF SHS 90 x 4</v>
      </c>
    </row>
    <row r="232" spans="1:53" s="146" customFormat="1">
      <c r="A232" s="128" t="s">
        <v>274</v>
      </c>
      <c r="B232" s="83">
        <f t="shared" si="18"/>
        <v>29.654473177213095</v>
      </c>
      <c r="C232" s="130">
        <v>90</v>
      </c>
      <c r="D232" s="130">
        <v>90</v>
      </c>
      <c r="E232" s="131">
        <v>4</v>
      </c>
      <c r="F232" s="130"/>
      <c r="G232" s="130"/>
      <c r="H232" s="132">
        <v>10.478152111872634</v>
      </c>
      <c r="I232" s="133">
        <v>10.67837157897848</v>
      </c>
      <c r="J232" s="133">
        <v>1334.79644737231</v>
      </c>
      <c r="K232" s="133">
        <v>0.34626548245743671</v>
      </c>
      <c r="L232" s="134">
        <v>1619205.5987334719</v>
      </c>
      <c r="M232" s="135">
        <v>35982.346638521602</v>
      </c>
      <c r="N232" s="135">
        <v>42584.801886108806</v>
      </c>
      <c r="O232" s="136">
        <v>34.82919825221083</v>
      </c>
      <c r="P232" s="135">
        <v>1619205.5987334719</v>
      </c>
      <c r="Q232" s="135">
        <v>35982.346638521602</v>
      </c>
      <c r="R232" s="135">
        <v>42584.801886108806</v>
      </c>
      <c r="S232" s="133">
        <v>34.82919825221083</v>
      </c>
      <c r="T232" s="134">
        <v>2614685.3529872298</v>
      </c>
      <c r="U232" s="171"/>
      <c r="V232" s="137">
        <v>1</v>
      </c>
      <c r="W232" s="138">
        <v>1</v>
      </c>
      <c r="X232" s="138">
        <v>1</v>
      </c>
      <c r="Y232" s="138">
        <v>1</v>
      </c>
      <c r="Z232" s="138">
        <v>1</v>
      </c>
      <c r="AA232" s="139">
        <v>1</v>
      </c>
      <c r="AB232" s="138">
        <v>1</v>
      </c>
      <c r="AC232" s="138">
        <v>1</v>
      </c>
      <c r="AD232" s="138">
        <v>1</v>
      </c>
      <c r="AE232" s="138">
        <v>1</v>
      </c>
      <c r="AF232" s="137">
        <v>1</v>
      </c>
      <c r="AG232" s="138">
        <v>1</v>
      </c>
      <c r="AH232" s="138">
        <v>1</v>
      </c>
      <c r="AI232" s="138">
        <v>1</v>
      </c>
      <c r="AJ232" s="138">
        <v>1</v>
      </c>
      <c r="AK232" s="93">
        <f t="shared" si="20"/>
        <v>259.41444715341987</v>
      </c>
      <c r="AM232" s="173"/>
      <c r="AN232" s="174"/>
      <c r="AO232" s="138" t="s">
        <v>49</v>
      </c>
      <c r="AP232" s="138">
        <f t="shared" si="24"/>
        <v>0.49</v>
      </c>
      <c r="AQ232" s="140">
        <f>IF(head!F$82="S235",235,IF(head!F$82="S275",275,IF(head!F$82="S355",355,IF(head!F$82="S420",420,460))))^0.5*head!$G$70*1000/(S232*3.1416*210000^0.5)</f>
        <v>3.7575966806297343</v>
      </c>
      <c r="AR232" s="140">
        <f t="shared" si="21"/>
        <v>8.4313775938940836</v>
      </c>
      <c r="AS232" s="140">
        <f t="shared" si="22"/>
        <v>6.2581622407072102E-2</v>
      </c>
      <c r="AT232" s="141">
        <f>IF(head!F$82="S235",235,IF(head!F$82="S275",275,IF(head!F$82="S355",355,IF(head!F$82="S420",420,460))))*AS232*J232/1000</f>
        <v>29.654473177213095</v>
      </c>
      <c r="AU232" s="199" t="s">
        <v>47</v>
      </c>
      <c r="AV232" s="142" t="s">
        <v>47</v>
      </c>
      <c r="AW232" s="142" t="s">
        <v>47</v>
      </c>
      <c r="AX232" s="143" t="s">
        <v>47</v>
      </c>
      <c r="AY232" s="135" t="s">
        <v>47</v>
      </c>
      <c r="AZ232" s="200">
        <v>0</v>
      </c>
      <c r="BA232" s="144" t="str">
        <f t="shared" si="23"/>
        <v>CF SHS 90 x 5</v>
      </c>
    </row>
    <row r="233" spans="1:53" s="146" customFormat="1">
      <c r="A233" s="128" t="s">
        <v>508</v>
      </c>
      <c r="B233" s="83">
        <f t="shared" si="18"/>
        <v>35.395290681847932</v>
      </c>
      <c r="C233" s="130">
        <v>90</v>
      </c>
      <c r="D233" s="130">
        <v>90</v>
      </c>
      <c r="E233" s="131">
        <v>5</v>
      </c>
      <c r="F233" s="130"/>
      <c r="G233" s="130"/>
      <c r="H233" s="132">
        <v>12.839612674800989</v>
      </c>
      <c r="I233" s="133">
        <v>13.084955592153873</v>
      </c>
      <c r="J233" s="133">
        <v>1635.6194490192345</v>
      </c>
      <c r="K233" s="133">
        <v>0.34283185307179587</v>
      </c>
      <c r="L233" s="134">
        <v>1929330.2661637464</v>
      </c>
      <c r="M233" s="135">
        <v>42874.005914749912</v>
      </c>
      <c r="N233" s="135">
        <v>51413.347382339874</v>
      </c>
      <c r="O233" s="136">
        <v>34.344892045172244</v>
      </c>
      <c r="P233" s="135">
        <v>1929330.2661637464</v>
      </c>
      <c r="Q233" s="135">
        <v>42874.005914749912</v>
      </c>
      <c r="R233" s="135">
        <v>51413.347382339874</v>
      </c>
      <c r="S233" s="133">
        <v>34.344892045172244</v>
      </c>
      <c r="T233" s="134">
        <v>3171709.1959881005</v>
      </c>
      <c r="U233" s="171"/>
      <c r="V233" s="137">
        <v>1</v>
      </c>
      <c r="W233" s="138">
        <v>1</v>
      </c>
      <c r="X233" s="138">
        <v>1</v>
      </c>
      <c r="Y233" s="138">
        <v>1</v>
      </c>
      <c r="Z233" s="138">
        <v>1</v>
      </c>
      <c r="AA233" s="139">
        <v>1</v>
      </c>
      <c r="AB233" s="138">
        <v>1</v>
      </c>
      <c r="AC233" s="138">
        <v>1</v>
      </c>
      <c r="AD233" s="138">
        <v>1</v>
      </c>
      <c r="AE233" s="138">
        <v>1</v>
      </c>
      <c r="AF233" s="137">
        <v>1</v>
      </c>
      <c r="AG233" s="138">
        <v>1</v>
      </c>
      <c r="AH233" s="138">
        <v>1</v>
      </c>
      <c r="AI233" s="138">
        <v>1</v>
      </c>
      <c r="AJ233" s="138">
        <v>1</v>
      </c>
      <c r="AK233" s="93">
        <f t="shared" si="20"/>
        <v>209.60367845794931</v>
      </c>
      <c r="AM233" s="173"/>
      <c r="AN233" s="174"/>
      <c r="AO233" s="138" t="s">
        <v>49</v>
      </c>
      <c r="AP233" s="138">
        <f t="shared" si="24"/>
        <v>0.49</v>
      </c>
      <c r="AQ233" s="140">
        <f>IF(head!F$82="S235",235,IF(head!F$82="S275",275,IF(head!F$82="S355",355,IF(head!F$82="S420",420,460))))^0.5*head!$G$70*1000/(S233*3.1416*210000^0.5)</f>
        <v>3.8105835234354424</v>
      </c>
      <c r="AR233" s="140">
        <f t="shared" si="21"/>
        <v>8.6448663577805185</v>
      </c>
      <c r="AS233" s="140">
        <f t="shared" si="22"/>
        <v>6.0958583143533543E-2</v>
      </c>
      <c r="AT233" s="141">
        <f>IF(head!F$82="S235",235,IF(head!F$82="S275",275,IF(head!F$82="S355",355,IF(head!F$82="S420",420,460))))*AS233*J233/1000</f>
        <v>35.395290681847932</v>
      </c>
      <c r="AU233" s="199" t="s">
        <v>47</v>
      </c>
      <c r="AV233" s="142" t="s">
        <v>47</v>
      </c>
      <c r="AW233" s="142" t="s">
        <v>47</v>
      </c>
      <c r="AX233" s="143" t="s">
        <v>47</v>
      </c>
      <c r="AY233" s="135" t="s">
        <v>47</v>
      </c>
      <c r="AZ233" s="200">
        <v>0</v>
      </c>
      <c r="BA233" s="144" t="str">
        <f t="shared" si="23"/>
        <v>CF SHS 90 x 6</v>
      </c>
    </row>
    <row r="234" spans="1:53" s="146" customFormat="1">
      <c r="A234" s="128" t="s">
        <v>509</v>
      </c>
      <c r="B234" s="83">
        <f t="shared" si="18"/>
        <v>40.518800684195924</v>
      </c>
      <c r="C234" s="130">
        <v>90</v>
      </c>
      <c r="D234" s="130">
        <v>90</v>
      </c>
      <c r="E234" s="131">
        <v>6</v>
      </c>
      <c r="F234" s="130"/>
      <c r="G234" s="130"/>
      <c r="H234" s="132">
        <v>15.097842251713427</v>
      </c>
      <c r="I234" s="133">
        <v>15.386336052701582</v>
      </c>
      <c r="J234" s="133">
        <v>1923.2920065876976</v>
      </c>
      <c r="K234" s="133">
        <v>0.33939822368615502</v>
      </c>
      <c r="L234" s="134">
        <v>2204773.1354704495</v>
      </c>
      <c r="M234" s="135">
        <v>48994.958566009991</v>
      </c>
      <c r="N234" s="135">
        <v>59544.636217394022</v>
      </c>
      <c r="O234" s="136">
        <v>33.857847219022084</v>
      </c>
      <c r="P234" s="135">
        <v>2204773.1354704495</v>
      </c>
      <c r="Q234" s="135">
        <v>48994.958566009991</v>
      </c>
      <c r="R234" s="135">
        <v>59544.636217394022</v>
      </c>
      <c r="S234" s="133">
        <v>33.857847219022084</v>
      </c>
      <c r="T234" s="134">
        <v>3688828.7606858099</v>
      </c>
      <c r="U234" s="171"/>
      <c r="V234" s="137">
        <v>1</v>
      </c>
      <c r="W234" s="138">
        <v>1</v>
      </c>
      <c r="X234" s="138">
        <v>1</v>
      </c>
      <c r="Y234" s="138">
        <v>1</v>
      </c>
      <c r="Z234" s="138">
        <v>1</v>
      </c>
      <c r="AA234" s="139">
        <v>1</v>
      </c>
      <c r="AB234" s="138">
        <v>1</v>
      </c>
      <c r="AC234" s="138">
        <v>1</v>
      </c>
      <c r="AD234" s="138">
        <v>1</v>
      </c>
      <c r="AE234" s="138">
        <v>1</v>
      </c>
      <c r="AF234" s="137">
        <v>1</v>
      </c>
      <c r="AG234" s="138">
        <v>1</v>
      </c>
      <c r="AH234" s="138">
        <v>1</v>
      </c>
      <c r="AI234" s="138">
        <v>1</v>
      </c>
      <c r="AJ234" s="138">
        <v>1</v>
      </c>
      <c r="AK234" s="93">
        <f t="shared" si="20"/>
        <v>176.46733960503218</v>
      </c>
      <c r="AM234" s="173"/>
      <c r="AN234" s="174"/>
      <c r="AO234" s="138" t="s">
        <v>49</v>
      </c>
      <c r="AP234" s="138">
        <f t="shared" si="24"/>
        <v>0.49</v>
      </c>
      <c r="AQ234" s="140">
        <f>IF(head!F$82="S235",235,IF(head!F$82="S275",275,IF(head!F$82="S355",355,IF(head!F$82="S420",420,460))))^0.5*head!$G$70*1000/(S234*3.1416*210000^0.5)</f>
        <v>3.8653987329700752</v>
      </c>
      <c r="AR234" s="140">
        <f t="shared" si="21"/>
        <v>8.8686763720009996</v>
      </c>
      <c r="AS234" s="140">
        <f t="shared" si="22"/>
        <v>5.9344845361546224E-2</v>
      </c>
      <c r="AT234" s="141">
        <f>IF(head!F$82="S235",235,IF(head!F$82="S275",275,IF(head!F$82="S355",355,IF(head!F$82="S420",420,460))))*AS234*J234/1000</f>
        <v>40.518800684195924</v>
      </c>
      <c r="AU234" s="199" t="s">
        <v>47</v>
      </c>
      <c r="AV234" s="142" t="s">
        <v>47</v>
      </c>
      <c r="AW234" s="142" t="s">
        <v>47</v>
      </c>
      <c r="AX234" s="143" t="s">
        <v>47</v>
      </c>
      <c r="AY234" s="135" t="s">
        <v>47</v>
      </c>
      <c r="AZ234" s="200">
        <v>0</v>
      </c>
      <c r="BA234" s="144" t="str">
        <f t="shared" si="23"/>
        <v>CF SHS 100 x 3</v>
      </c>
    </row>
    <row r="235" spans="1:53" s="146" customFormat="1">
      <c r="A235" s="128" t="s">
        <v>510</v>
      </c>
      <c r="B235" s="83">
        <f t="shared" si="18"/>
        <v>31.895937454579904</v>
      </c>
      <c r="C235" s="130">
        <v>100</v>
      </c>
      <c r="D235" s="130">
        <v>100</v>
      </c>
      <c r="E235" s="131">
        <v>3</v>
      </c>
      <c r="F235" s="130"/>
      <c r="G235" s="130"/>
      <c r="H235" s="132">
        <v>8.955460562928355</v>
      </c>
      <c r="I235" s="133">
        <v>9.1265840131753944</v>
      </c>
      <c r="J235" s="133">
        <v>1140.8230016469245</v>
      </c>
      <c r="K235" s="133">
        <v>0.38969911184307748</v>
      </c>
      <c r="L235" s="134">
        <v>1770467.5899569737</v>
      </c>
      <c r="M235" s="135">
        <v>35409.351799139469</v>
      </c>
      <c r="N235" s="135">
        <v>41208.212072464674</v>
      </c>
      <c r="O235" s="136">
        <v>39.394433172917957</v>
      </c>
      <c r="P235" s="135">
        <v>1770467.5899569737</v>
      </c>
      <c r="Q235" s="135">
        <v>35409.351799139469</v>
      </c>
      <c r="R235" s="135">
        <v>41208.212072464674</v>
      </c>
      <c r="S235" s="133">
        <v>39.394433172917957</v>
      </c>
      <c r="T235" s="134">
        <v>2792160.3174436702</v>
      </c>
      <c r="U235" s="171"/>
      <c r="V235" s="137">
        <v>1</v>
      </c>
      <c r="W235" s="138">
        <v>1</v>
      </c>
      <c r="X235" s="138">
        <v>2</v>
      </c>
      <c r="Y235" s="138">
        <v>3</v>
      </c>
      <c r="Z235" s="138">
        <v>3</v>
      </c>
      <c r="AA235" s="139">
        <v>2</v>
      </c>
      <c r="AB235" s="138">
        <v>2</v>
      </c>
      <c r="AC235" s="138">
        <v>4</v>
      </c>
      <c r="AD235" s="138">
        <v>4</v>
      </c>
      <c r="AE235" s="138">
        <v>4</v>
      </c>
      <c r="AF235" s="137">
        <v>1</v>
      </c>
      <c r="AG235" s="138">
        <v>1</v>
      </c>
      <c r="AH235" s="138">
        <v>2</v>
      </c>
      <c r="AI235" s="138">
        <v>3</v>
      </c>
      <c r="AJ235" s="138">
        <v>3</v>
      </c>
      <c r="AK235" s="93">
        <f t="shared" si="20"/>
        <v>341.59471826961482</v>
      </c>
      <c r="AM235" s="173"/>
      <c r="AN235" s="174"/>
      <c r="AO235" s="138" t="s">
        <v>49</v>
      </c>
      <c r="AP235" s="138">
        <f t="shared" si="24"/>
        <v>0.49</v>
      </c>
      <c r="AQ235" s="140">
        <f>IF(head!F$82="S235",235,IF(head!F$82="S275",275,IF(head!F$82="S355",355,IF(head!F$82="S420",420,460))))^0.5*head!$G$70*1000/(S235*3.1416*210000^0.5)</f>
        <v>3.3221465369749974</v>
      </c>
      <c r="AR235" s="140">
        <f t="shared" si="21"/>
        <v>6.7832547081263588</v>
      </c>
      <c r="AS235" s="140">
        <f t="shared" si="22"/>
        <v>7.8756924614909588E-2</v>
      </c>
      <c r="AT235" s="141">
        <f>IF(head!F$82="S235",235,IF(head!F$82="S275",275,IF(head!F$82="S355",355,IF(head!F$82="S420",420,460))))*AS235*J235/1000</f>
        <v>31.895937454579904</v>
      </c>
      <c r="AU235" s="199" t="s">
        <v>47</v>
      </c>
      <c r="AV235" s="142" t="s">
        <v>47</v>
      </c>
      <c r="AW235" s="142" t="s">
        <v>47</v>
      </c>
      <c r="AX235" s="143" t="s">
        <v>47</v>
      </c>
      <c r="AY235" s="135" t="s">
        <v>47</v>
      </c>
      <c r="AZ235" s="200">
        <v>0</v>
      </c>
      <c r="BA235" s="144" t="str">
        <f t="shared" si="23"/>
        <v>CF SHS 100 x 4</v>
      </c>
    </row>
    <row r="236" spans="1:53" s="146" customFormat="1">
      <c r="A236" s="128" t="s">
        <v>275</v>
      </c>
      <c r="B236" s="83">
        <f t="shared" si="18"/>
        <v>40.849745060145928</v>
      </c>
      <c r="C236" s="130">
        <v>100</v>
      </c>
      <c r="D236" s="130">
        <v>100</v>
      </c>
      <c r="E236" s="131">
        <v>4</v>
      </c>
      <c r="F236" s="130"/>
      <c r="G236" s="130"/>
      <c r="H236" s="132">
        <v>11.734152111872634</v>
      </c>
      <c r="I236" s="133">
        <v>11.958371578978481</v>
      </c>
      <c r="J236" s="133">
        <v>1494.79644737231</v>
      </c>
      <c r="K236" s="133">
        <v>0.38626548245743669</v>
      </c>
      <c r="L236" s="134">
        <v>2263516.8621122013</v>
      </c>
      <c r="M236" s="135">
        <v>45270.337242244022</v>
      </c>
      <c r="N236" s="135">
        <v>53298.784122970355</v>
      </c>
      <c r="O236" s="136">
        <v>38.91354876279329</v>
      </c>
      <c r="P236" s="135">
        <v>2263516.8621122013</v>
      </c>
      <c r="Q236" s="135">
        <v>45270.337242244022</v>
      </c>
      <c r="R236" s="135">
        <v>53298.784122970355</v>
      </c>
      <c r="S236" s="133">
        <v>38.91354876279329</v>
      </c>
      <c r="T236" s="134">
        <v>3628782.3026295998</v>
      </c>
      <c r="U236" s="171"/>
      <c r="V236" s="137">
        <v>1</v>
      </c>
      <c r="W236" s="138">
        <v>1</v>
      </c>
      <c r="X236" s="138">
        <v>1</v>
      </c>
      <c r="Y236" s="138">
        <v>1</v>
      </c>
      <c r="Z236" s="138">
        <v>1</v>
      </c>
      <c r="AA236" s="139">
        <v>1</v>
      </c>
      <c r="AB236" s="138">
        <v>1</v>
      </c>
      <c r="AC236" s="138">
        <v>1</v>
      </c>
      <c r="AD236" s="138">
        <v>2</v>
      </c>
      <c r="AE236" s="138">
        <v>2</v>
      </c>
      <c r="AF236" s="137">
        <v>1</v>
      </c>
      <c r="AG236" s="138">
        <v>1</v>
      </c>
      <c r="AH236" s="138">
        <v>1</v>
      </c>
      <c r="AI236" s="138">
        <v>1</v>
      </c>
      <c r="AJ236" s="138">
        <v>1</v>
      </c>
      <c r="AK236" s="93">
        <f t="shared" si="20"/>
        <v>258.40674369841423</v>
      </c>
      <c r="AM236" s="173"/>
      <c r="AN236" s="174"/>
      <c r="AO236" s="138" t="s">
        <v>49</v>
      </c>
      <c r="AP236" s="138">
        <f t="shared" si="24"/>
        <v>0.49</v>
      </c>
      <c r="AQ236" s="140">
        <f>IF(head!F$82="S235",235,IF(head!F$82="S275",275,IF(head!F$82="S355",355,IF(head!F$82="S420",420,460))))^0.5*head!$G$70*1000/(S236*3.1416*210000^0.5)</f>
        <v>3.3632008362762331</v>
      </c>
      <c r="AR236" s="140">
        <f t="shared" si="21"/>
        <v>6.9305441374522534</v>
      </c>
      <c r="AS236" s="140">
        <f t="shared" si="22"/>
        <v>7.6980183219633236E-2</v>
      </c>
      <c r="AT236" s="141">
        <f>IF(head!F$82="S235",235,IF(head!F$82="S275",275,IF(head!F$82="S355",355,IF(head!F$82="S420",420,460))))*AS236*J236/1000</f>
        <v>40.849745060145928</v>
      </c>
      <c r="AU236" s="199" t="s">
        <v>47</v>
      </c>
      <c r="AV236" s="142" t="s">
        <v>47</v>
      </c>
      <c r="AW236" s="142" t="s">
        <v>47</v>
      </c>
      <c r="AX236" s="143" t="s">
        <v>47</v>
      </c>
      <c r="AY236" s="135" t="s">
        <v>47</v>
      </c>
      <c r="AZ236" s="200">
        <v>0</v>
      </c>
      <c r="BA236" s="144" t="str">
        <f t="shared" si="23"/>
        <v>CF SHS 100 x 5</v>
      </c>
    </row>
    <row r="237" spans="1:53" s="146" customFormat="1">
      <c r="A237" s="128" t="s">
        <v>276</v>
      </c>
      <c r="B237" s="83">
        <f t="shared" si="18"/>
        <v>49.011581598356535</v>
      </c>
      <c r="C237" s="130">
        <v>100</v>
      </c>
      <c r="D237" s="130">
        <v>100</v>
      </c>
      <c r="E237" s="131">
        <v>5</v>
      </c>
      <c r="F237" s="130"/>
      <c r="G237" s="130"/>
      <c r="H237" s="132">
        <v>14.409612674800989</v>
      </c>
      <c r="I237" s="133">
        <v>14.684955592153875</v>
      </c>
      <c r="J237" s="133">
        <v>1835.6194490192345</v>
      </c>
      <c r="K237" s="133">
        <v>0.3828318530717959</v>
      </c>
      <c r="L237" s="134">
        <v>2711020.8928792928</v>
      </c>
      <c r="M237" s="135">
        <v>54220.41785758586</v>
      </c>
      <c r="N237" s="135">
        <v>64591.444627436045</v>
      </c>
      <c r="O237" s="136">
        <v>38.430417891681088</v>
      </c>
      <c r="P237" s="135">
        <v>2711020.8928792928</v>
      </c>
      <c r="Q237" s="135">
        <v>54220.41785758586</v>
      </c>
      <c r="R237" s="135">
        <v>64591.444627436045</v>
      </c>
      <c r="S237" s="133">
        <v>38.430417891681088</v>
      </c>
      <c r="T237" s="134">
        <v>4417232.0130478702</v>
      </c>
      <c r="U237" s="171"/>
      <c r="V237" s="137">
        <v>1</v>
      </c>
      <c r="W237" s="138">
        <v>1</v>
      </c>
      <c r="X237" s="138">
        <v>1</v>
      </c>
      <c r="Y237" s="138">
        <v>1</v>
      </c>
      <c r="Z237" s="138">
        <v>1</v>
      </c>
      <c r="AA237" s="139">
        <v>1</v>
      </c>
      <c r="AB237" s="138">
        <v>1</v>
      </c>
      <c r="AC237" s="138">
        <v>1</v>
      </c>
      <c r="AD237" s="138">
        <v>1</v>
      </c>
      <c r="AE237" s="138">
        <v>1</v>
      </c>
      <c r="AF237" s="137">
        <v>1</v>
      </c>
      <c r="AG237" s="138">
        <v>1</v>
      </c>
      <c r="AH237" s="138">
        <v>1</v>
      </c>
      <c r="AI237" s="138">
        <v>1</v>
      </c>
      <c r="AJ237" s="138">
        <v>1</v>
      </c>
      <c r="AK237" s="93">
        <f t="shared" si="20"/>
        <v>208.55730923767544</v>
      </c>
      <c r="AM237" s="173"/>
      <c r="AN237" s="174"/>
      <c r="AO237" s="138" t="s">
        <v>49</v>
      </c>
      <c r="AP237" s="138">
        <f t="shared" si="24"/>
        <v>0.49</v>
      </c>
      <c r="AQ237" s="140">
        <f>IF(head!F$82="S235",235,IF(head!F$82="S275",275,IF(head!F$82="S355",355,IF(head!F$82="S420",420,460))))^0.5*head!$G$70*1000/(S237*3.1416*210000^0.5)</f>
        <v>3.4054815669811451</v>
      </c>
      <c r="AR237" s="140">
        <f t="shared" si="21"/>
        <v>7.0839953354345582</v>
      </c>
      <c r="AS237" s="140">
        <f t="shared" si="22"/>
        <v>7.5212099821982473E-2</v>
      </c>
      <c r="AT237" s="141">
        <f>IF(head!F$82="S235",235,IF(head!F$82="S275",275,IF(head!F$82="S355",355,IF(head!F$82="S420",420,460))))*AS237*J237/1000</f>
        <v>49.011581598356535</v>
      </c>
      <c r="AU237" s="199" t="s">
        <v>47</v>
      </c>
      <c r="AV237" s="142" t="s">
        <v>47</v>
      </c>
      <c r="AW237" s="142" t="s">
        <v>47</v>
      </c>
      <c r="AX237" s="143" t="s">
        <v>47</v>
      </c>
      <c r="AY237" s="135" t="s">
        <v>47</v>
      </c>
      <c r="AZ237" s="200">
        <v>0</v>
      </c>
      <c r="BA237" s="144" t="str">
        <f t="shared" si="23"/>
        <v>CF SHS 100 x 6</v>
      </c>
    </row>
    <row r="238" spans="1:53" s="146" customFormat="1">
      <c r="A238" s="128" t="s">
        <v>511</v>
      </c>
      <c r="B238" s="83">
        <f t="shared" si="18"/>
        <v>56.409257640523833</v>
      </c>
      <c r="C238" s="130">
        <v>100</v>
      </c>
      <c r="D238" s="130">
        <v>100</v>
      </c>
      <c r="E238" s="131">
        <v>6</v>
      </c>
      <c r="F238" s="130"/>
      <c r="G238" s="130"/>
      <c r="H238" s="132">
        <v>16.981842251713427</v>
      </c>
      <c r="I238" s="133">
        <v>17.306336052701582</v>
      </c>
      <c r="J238" s="133">
        <v>2163.2920065876979</v>
      </c>
      <c r="K238" s="133">
        <v>0.379398223686155</v>
      </c>
      <c r="L238" s="134">
        <v>3114741.7978090816</v>
      </c>
      <c r="M238" s="135">
        <v>62294.83595618164</v>
      </c>
      <c r="N238" s="135">
        <v>75101.096250332514</v>
      </c>
      <c r="O238" s="136">
        <v>37.944903497111255</v>
      </c>
      <c r="P238" s="135">
        <v>3114741.7978090816</v>
      </c>
      <c r="Q238" s="135">
        <v>62294.83595618164</v>
      </c>
      <c r="R238" s="135">
        <v>75101.096250332514</v>
      </c>
      <c r="S238" s="133">
        <v>37.944903497111255</v>
      </c>
      <c r="T238" s="134">
        <v>5156807.5291342102</v>
      </c>
      <c r="U238" s="171"/>
      <c r="V238" s="137">
        <v>1</v>
      </c>
      <c r="W238" s="138">
        <v>1</v>
      </c>
      <c r="X238" s="138">
        <v>1</v>
      </c>
      <c r="Y238" s="138">
        <v>1</v>
      </c>
      <c r="Z238" s="138">
        <v>1</v>
      </c>
      <c r="AA238" s="139">
        <v>1</v>
      </c>
      <c r="AB238" s="138">
        <v>1</v>
      </c>
      <c r="AC238" s="138">
        <v>1</v>
      </c>
      <c r="AD238" s="138">
        <v>1</v>
      </c>
      <c r="AE238" s="138">
        <v>1</v>
      </c>
      <c r="AF238" s="137">
        <v>1</v>
      </c>
      <c r="AG238" s="138">
        <v>1</v>
      </c>
      <c r="AH238" s="138">
        <v>1</v>
      </c>
      <c r="AI238" s="138">
        <v>1</v>
      </c>
      <c r="AJ238" s="138">
        <v>1</v>
      </c>
      <c r="AK238" s="93">
        <f t="shared" si="20"/>
        <v>175.38003308420883</v>
      </c>
      <c r="AM238" s="173"/>
      <c r="AN238" s="174"/>
      <c r="AO238" s="138" t="s">
        <v>49</v>
      </c>
      <c r="AP238" s="138">
        <f t="shared" si="24"/>
        <v>0.49</v>
      </c>
      <c r="AQ238" s="140">
        <f>IF(head!F$82="S235",235,IF(head!F$82="S275",275,IF(head!F$82="S355",355,IF(head!F$82="S420",420,460))))^0.5*head!$G$70*1000/(S238*3.1416*210000^0.5)</f>
        <v>3.4490555431631496</v>
      </c>
      <c r="AR238" s="140">
        <f t="shared" si="21"/>
        <v>7.2440106779871964</v>
      </c>
      <c r="AS238" s="140">
        <f t="shared" si="22"/>
        <v>7.3452551395450552E-2</v>
      </c>
      <c r="AT238" s="141">
        <f>IF(head!F$82="S235",235,IF(head!F$82="S275",275,IF(head!F$82="S355",355,IF(head!F$82="S420",420,460))))*AS238*J238/1000</f>
        <v>56.409257640523833</v>
      </c>
      <c r="AU238" s="199" t="s">
        <v>47</v>
      </c>
      <c r="AV238" s="142" t="s">
        <v>47</v>
      </c>
      <c r="AW238" s="142" t="s">
        <v>47</v>
      </c>
      <c r="AX238" s="143" t="s">
        <v>47</v>
      </c>
      <c r="AY238" s="135" t="s">
        <v>47</v>
      </c>
      <c r="AZ238" s="200">
        <v>0</v>
      </c>
      <c r="BA238" s="144" t="str">
        <f t="shared" si="23"/>
        <v>CF SHS 100 x 8</v>
      </c>
    </row>
    <row r="239" spans="1:53" s="146" customFormat="1">
      <c r="A239" s="128" t="s">
        <v>512</v>
      </c>
      <c r="B239" s="83">
        <f t="shared" si="18"/>
        <v>66.583747034066079</v>
      </c>
      <c r="C239" s="130">
        <v>100</v>
      </c>
      <c r="D239" s="130">
        <v>100</v>
      </c>
      <c r="E239" s="131">
        <v>8</v>
      </c>
      <c r="F239" s="130"/>
      <c r="G239" s="130"/>
      <c r="H239" s="132">
        <v>21.385344596654051</v>
      </c>
      <c r="I239" s="133">
        <v>21.793981754551897</v>
      </c>
      <c r="J239" s="133">
        <v>2724.247719318987</v>
      </c>
      <c r="K239" s="133">
        <v>0.36566370614359173</v>
      </c>
      <c r="L239" s="134">
        <v>3659440.6372144702</v>
      </c>
      <c r="M239" s="135">
        <v>73188.812744289404</v>
      </c>
      <c r="N239" s="135">
        <v>91050.098246236274</v>
      </c>
      <c r="O239" s="136">
        <v>36.650850344676321</v>
      </c>
      <c r="P239" s="135">
        <v>3659440.6372144702</v>
      </c>
      <c r="Q239" s="135">
        <v>73188.812744289404</v>
      </c>
      <c r="R239" s="135">
        <v>91050.098246236274</v>
      </c>
      <c r="S239" s="133">
        <v>36.650850344676321</v>
      </c>
      <c r="T239" s="134">
        <v>6454764.0001105303</v>
      </c>
      <c r="U239" s="171"/>
      <c r="V239" s="137">
        <v>1</v>
      </c>
      <c r="W239" s="138">
        <v>1</v>
      </c>
      <c r="X239" s="138">
        <v>1</v>
      </c>
      <c r="Y239" s="138">
        <v>1</v>
      </c>
      <c r="Z239" s="138">
        <v>1</v>
      </c>
      <c r="AA239" s="139">
        <v>1</v>
      </c>
      <c r="AB239" s="138">
        <v>1</v>
      </c>
      <c r="AC239" s="138">
        <v>1</v>
      </c>
      <c r="AD239" s="138">
        <v>1</v>
      </c>
      <c r="AE239" s="138">
        <v>1</v>
      </c>
      <c r="AF239" s="137">
        <v>1</v>
      </c>
      <c r="AG239" s="138">
        <v>1</v>
      </c>
      <c r="AH239" s="138">
        <v>1</v>
      </c>
      <c r="AI239" s="138">
        <v>1</v>
      </c>
      <c r="AJ239" s="138">
        <v>1</v>
      </c>
      <c r="AK239" s="93">
        <f t="shared" si="20"/>
        <v>134.22557117346182</v>
      </c>
      <c r="AM239" s="173"/>
      <c r="AN239" s="174"/>
      <c r="AO239" s="138" t="s">
        <v>49</v>
      </c>
      <c r="AP239" s="138">
        <f t="shared" si="24"/>
        <v>0.49</v>
      </c>
      <c r="AQ239" s="140">
        <f>IF(head!F$82="S235",235,IF(head!F$82="S275",275,IF(head!F$82="S355",355,IF(head!F$82="S420",420,460))))^0.5*head!$G$70*1000/(S239*3.1416*210000^0.5)</f>
        <v>3.5708333779631478</v>
      </c>
      <c r="AR239" s="140">
        <f t="shared" si="21"/>
        <v>7.7012796841888234</v>
      </c>
      <c r="AS239" s="140">
        <f t="shared" si="22"/>
        <v>6.884830974441368E-2</v>
      </c>
      <c r="AT239" s="141">
        <f>IF(head!F$82="S235",235,IF(head!F$82="S275",275,IF(head!F$82="S355",355,IF(head!F$82="S420",420,460))))*AS239*J239/1000</f>
        <v>66.583747034066079</v>
      </c>
      <c r="AU239" s="199" t="s">
        <v>47</v>
      </c>
      <c r="AV239" s="142" t="s">
        <v>47</v>
      </c>
      <c r="AW239" s="142" t="s">
        <v>47</v>
      </c>
      <c r="AX239" s="143" t="s">
        <v>47</v>
      </c>
      <c r="AY239" s="135" t="s">
        <v>47</v>
      </c>
      <c r="AZ239" s="200">
        <v>0</v>
      </c>
      <c r="BA239" s="144" t="str">
        <f t="shared" si="23"/>
        <v>CF SHS 100 x 10</v>
      </c>
    </row>
    <row r="240" spans="1:53" s="146" customFormat="1">
      <c r="A240" s="128" t="s">
        <v>513</v>
      </c>
      <c r="B240" s="83">
        <f t="shared" si="18"/>
        <v>75.09741970820113</v>
      </c>
      <c r="C240" s="130">
        <v>100</v>
      </c>
      <c r="D240" s="130">
        <v>100</v>
      </c>
      <c r="E240" s="131">
        <v>10</v>
      </c>
      <c r="F240" s="130"/>
      <c r="G240" s="130"/>
      <c r="H240" s="132">
        <v>25.564600932271947</v>
      </c>
      <c r="I240" s="133">
        <v>26.053096491487334</v>
      </c>
      <c r="J240" s="133">
        <v>3256.6370614359171</v>
      </c>
      <c r="K240" s="133">
        <v>0.35707963267948967</v>
      </c>
      <c r="L240" s="134">
        <v>4110766.8722859141</v>
      </c>
      <c r="M240" s="135">
        <v>82215.337445718294</v>
      </c>
      <c r="N240" s="135">
        <v>105249.25986923126</v>
      </c>
      <c r="O240" s="136">
        <v>35.528489478763369</v>
      </c>
      <c r="P240" s="135">
        <v>4110766.8722859141</v>
      </c>
      <c r="Q240" s="135">
        <v>82215.337445718294</v>
      </c>
      <c r="R240" s="135">
        <v>105249.25986923126</v>
      </c>
      <c r="S240" s="133">
        <v>35.528489478763369</v>
      </c>
      <c r="T240" s="134">
        <v>7502290.2361365799</v>
      </c>
      <c r="U240" s="171"/>
      <c r="V240" s="137">
        <v>1</v>
      </c>
      <c r="W240" s="138">
        <v>1</v>
      </c>
      <c r="X240" s="138">
        <v>1</v>
      </c>
      <c r="Y240" s="138">
        <v>1</v>
      </c>
      <c r="Z240" s="138">
        <v>1</v>
      </c>
      <c r="AA240" s="139">
        <v>1</v>
      </c>
      <c r="AB240" s="138">
        <v>1</v>
      </c>
      <c r="AC240" s="138">
        <v>1</v>
      </c>
      <c r="AD240" s="138">
        <v>1</v>
      </c>
      <c r="AE240" s="138">
        <v>1</v>
      </c>
      <c r="AF240" s="137">
        <v>1</v>
      </c>
      <c r="AG240" s="138">
        <v>1</v>
      </c>
      <c r="AH240" s="138">
        <v>1</v>
      </c>
      <c r="AI240" s="138">
        <v>1</v>
      </c>
      <c r="AJ240" s="138">
        <v>1</v>
      </c>
      <c r="AK240" s="93">
        <f t="shared" si="20"/>
        <v>109.64673862737595</v>
      </c>
      <c r="AM240" s="173"/>
      <c r="AN240" s="174"/>
      <c r="AO240" s="138" t="s">
        <v>49</v>
      </c>
      <c r="AP240" s="138">
        <f t="shared" si="24"/>
        <v>0.49</v>
      </c>
      <c r="AQ240" s="140">
        <f>IF(head!F$82="S235",235,IF(head!F$82="S275",275,IF(head!F$82="S355",355,IF(head!F$82="S420",420,460))))^0.5*head!$G$70*1000/(S240*3.1416*210000^0.5)</f>
        <v>3.6836376007409601</v>
      </c>
      <c r="AR240" s="140">
        <f t="shared" si="21"/>
        <v>8.1380841989778432</v>
      </c>
      <c r="AS240" s="140">
        <f t="shared" si="22"/>
        <v>6.4957200743079507E-2</v>
      </c>
      <c r="AT240" s="141">
        <f>IF(head!F$82="S235",235,IF(head!F$82="S275",275,IF(head!F$82="S355",355,IF(head!F$82="S420",420,460))))*AS240*J240/1000</f>
        <v>75.09741970820113</v>
      </c>
      <c r="AU240" s="199" t="s">
        <v>47</v>
      </c>
      <c r="AV240" s="142" t="s">
        <v>47</v>
      </c>
      <c r="AW240" s="142" t="s">
        <v>47</v>
      </c>
      <c r="AX240" s="143" t="s">
        <v>47</v>
      </c>
      <c r="AY240" s="135" t="s">
        <v>47</v>
      </c>
      <c r="AZ240" s="200">
        <v>0</v>
      </c>
      <c r="BA240" s="144" t="str">
        <f t="shared" si="23"/>
        <v>CF SHS 110 x 4</v>
      </c>
    </row>
    <row r="241" spans="1:53" s="146" customFormat="1">
      <c r="A241" s="128" t="s">
        <v>514</v>
      </c>
      <c r="B241" s="83">
        <f t="shared" si="18"/>
        <v>54.393325448059834</v>
      </c>
      <c r="C241" s="130">
        <v>110</v>
      </c>
      <c r="D241" s="130">
        <v>110</v>
      </c>
      <c r="E241" s="131">
        <v>4</v>
      </c>
      <c r="F241" s="130"/>
      <c r="G241" s="130"/>
      <c r="H241" s="132">
        <v>12.990152111872634</v>
      </c>
      <c r="I241" s="133">
        <v>13.23837157897848</v>
      </c>
      <c r="J241" s="133">
        <v>1654.79644737231</v>
      </c>
      <c r="K241" s="133">
        <v>0.42626548245743667</v>
      </c>
      <c r="L241" s="134">
        <v>3059367.9478595457</v>
      </c>
      <c r="M241" s="135">
        <v>55624.871779264467</v>
      </c>
      <c r="N241" s="135">
        <v>65212.766359831905</v>
      </c>
      <c r="O241" s="136">
        <v>42.997535751291977</v>
      </c>
      <c r="P241" s="135">
        <v>3059367.9478595457</v>
      </c>
      <c r="Q241" s="135">
        <v>55624.871779264467</v>
      </c>
      <c r="R241" s="135">
        <v>65212.766359831905</v>
      </c>
      <c r="S241" s="133">
        <v>42.997535751291977</v>
      </c>
      <c r="T241" s="134">
        <v>4875589.0604385296</v>
      </c>
      <c r="U241" s="171"/>
      <c r="V241" s="137">
        <v>1</v>
      </c>
      <c r="W241" s="138">
        <v>1</v>
      </c>
      <c r="X241" s="138">
        <v>1</v>
      </c>
      <c r="Y241" s="138">
        <v>1</v>
      </c>
      <c r="Z241" s="138">
        <v>1</v>
      </c>
      <c r="AA241" s="139">
        <v>1</v>
      </c>
      <c r="AB241" s="138">
        <v>1</v>
      </c>
      <c r="AC241" s="138">
        <v>2</v>
      </c>
      <c r="AD241" s="138">
        <v>2</v>
      </c>
      <c r="AE241" s="138">
        <v>3</v>
      </c>
      <c r="AF241" s="137">
        <v>1</v>
      </c>
      <c r="AG241" s="138">
        <v>1</v>
      </c>
      <c r="AH241" s="138">
        <v>1</v>
      </c>
      <c r="AI241" s="138">
        <v>1</v>
      </c>
      <c r="AJ241" s="138">
        <v>1</v>
      </c>
      <c r="AK241" s="93">
        <f t="shared" si="20"/>
        <v>257.59390717469427</v>
      </c>
      <c r="AM241" s="173"/>
      <c r="AN241" s="174"/>
      <c r="AO241" s="138" t="s">
        <v>49</v>
      </c>
      <c r="AP241" s="138">
        <f t="shared" si="24"/>
        <v>0.49</v>
      </c>
      <c r="AQ241" s="140">
        <f>IF(head!F$82="S235",235,IF(head!F$82="S275",275,IF(head!F$82="S355",355,IF(head!F$82="S420",420,460))))^0.5*head!$G$70*1000/(S241*3.1416*210000^0.5)</f>
        <v>3.0437576818008671</v>
      </c>
      <c r="AR241" s="140">
        <f t="shared" si="21"/>
        <v>5.8289510448021069</v>
      </c>
      <c r="AS241" s="140">
        <f t="shared" si="22"/>
        <v>9.2591832251187098E-2</v>
      </c>
      <c r="AT241" s="141">
        <f>IF(head!F$82="S235",235,IF(head!F$82="S275",275,IF(head!F$82="S355",355,IF(head!F$82="S420",420,460))))*AS241*J241/1000</f>
        <v>54.393325448059834</v>
      </c>
      <c r="AU241" s="199" t="s">
        <v>47</v>
      </c>
      <c r="AV241" s="142" t="s">
        <v>47</v>
      </c>
      <c r="AW241" s="142" t="s">
        <v>47</v>
      </c>
      <c r="AX241" s="143" t="s">
        <v>47</v>
      </c>
      <c r="AY241" s="135" t="s">
        <v>47</v>
      </c>
      <c r="AZ241" s="200">
        <v>0</v>
      </c>
      <c r="BA241" s="144" t="str">
        <f t="shared" si="23"/>
        <v>CF SHS 110 x 5</v>
      </c>
    </row>
    <row r="242" spans="1:53" s="146" customFormat="1">
      <c r="A242" s="128" t="s">
        <v>515</v>
      </c>
      <c r="B242" s="83">
        <f t="shared" si="18"/>
        <v>65.535224641658502</v>
      </c>
      <c r="C242" s="130">
        <v>110</v>
      </c>
      <c r="D242" s="130">
        <v>110</v>
      </c>
      <c r="E242" s="131">
        <v>5</v>
      </c>
      <c r="F242" s="130"/>
      <c r="G242" s="130"/>
      <c r="H242" s="132">
        <v>15.97961267480099</v>
      </c>
      <c r="I242" s="133">
        <v>16.284955592153874</v>
      </c>
      <c r="J242" s="133">
        <v>2035.6194490192345</v>
      </c>
      <c r="K242" s="133">
        <v>0.42283185307179588</v>
      </c>
      <c r="L242" s="134">
        <v>3679492.4920458016</v>
      </c>
      <c r="M242" s="135">
        <v>66899.863491741853</v>
      </c>
      <c r="N242" s="135">
        <v>79269.541872532223</v>
      </c>
      <c r="O242" s="136">
        <v>42.51534080329386</v>
      </c>
      <c r="P242" s="135">
        <v>3679492.4920458016</v>
      </c>
      <c r="Q242" s="135">
        <v>66899.863491741853</v>
      </c>
      <c r="R242" s="135">
        <v>79269.541872532223</v>
      </c>
      <c r="S242" s="133">
        <v>42.51534080329386</v>
      </c>
      <c r="T242" s="134">
        <v>5951363.9395909589</v>
      </c>
      <c r="U242" s="171"/>
      <c r="V242" s="137">
        <v>1</v>
      </c>
      <c r="W242" s="138">
        <v>1</v>
      </c>
      <c r="X242" s="138">
        <v>1</v>
      </c>
      <c r="Y242" s="138">
        <v>1</v>
      </c>
      <c r="Z242" s="138">
        <v>1</v>
      </c>
      <c r="AA242" s="139">
        <v>1</v>
      </c>
      <c r="AB242" s="138">
        <v>1</v>
      </c>
      <c r="AC242" s="138">
        <v>1</v>
      </c>
      <c r="AD242" s="138">
        <v>1</v>
      </c>
      <c r="AE242" s="138">
        <v>1</v>
      </c>
      <c r="AF242" s="137">
        <v>1</v>
      </c>
      <c r="AG242" s="138">
        <v>1</v>
      </c>
      <c r="AH242" s="138">
        <v>1</v>
      </c>
      <c r="AI242" s="138">
        <v>1</v>
      </c>
      <c r="AJ242" s="138">
        <v>1</v>
      </c>
      <c r="AK242" s="93">
        <f t="shared" si="20"/>
        <v>207.7165519692382</v>
      </c>
      <c r="AM242" s="173"/>
      <c r="AN242" s="174"/>
      <c r="AO242" s="138" t="s">
        <v>49</v>
      </c>
      <c r="AP242" s="138">
        <f t="shared" si="24"/>
        <v>0.49</v>
      </c>
      <c r="AQ242" s="140">
        <f>IF(head!F$82="S235",235,IF(head!F$82="S275",275,IF(head!F$82="S355",355,IF(head!F$82="S420",420,460))))^0.5*head!$G$70*1000/(S242*3.1416*210000^0.5)</f>
        <v>3.078278975747101</v>
      </c>
      <c r="AR242" s="140">
        <f t="shared" si="21"/>
        <v>5.94307907532135</v>
      </c>
      <c r="AS242" s="140">
        <f t="shared" si="22"/>
        <v>9.0688004914260767E-2</v>
      </c>
      <c r="AT242" s="141">
        <f>IF(head!F$82="S235",235,IF(head!F$82="S275",275,IF(head!F$82="S355",355,IF(head!F$82="S420",420,460))))*AS242*J242/1000</f>
        <v>65.535224641658502</v>
      </c>
      <c r="AU242" s="199" t="s">
        <v>47</v>
      </c>
      <c r="AV242" s="142" t="s">
        <v>47</v>
      </c>
      <c r="AW242" s="142" t="s">
        <v>47</v>
      </c>
      <c r="AX242" s="143" t="s">
        <v>47</v>
      </c>
      <c r="AY242" s="135" t="s">
        <v>47</v>
      </c>
      <c r="AZ242" s="200">
        <v>0</v>
      </c>
      <c r="BA242" s="144" t="str">
        <f t="shared" si="23"/>
        <v>CF SHS 120 x 3</v>
      </c>
    </row>
    <row r="243" spans="1:53" s="146" customFormat="1">
      <c r="A243" s="128" t="s">
        <v>516</v>
      </c>
      <c r="B243" s="83">
        <f t="shared" si="18"/>
        <v>54.593246661887484</v>
      </c>
      <c r="C243" s="130">
        <v>120</v>
      </c>
      <c r="D243" s="130">
        <v>120</v>
      </c>
      <c r="E243" s="131">
        <v>3</v>
      </c>
      <c r="F243" s="130"/>
      <c r="G243" s="130"/>
      <c r="H243" s="132">
        <v>10.839460562928355</v>
      </c>
      <c r="I243" s="133">
        <v>11.046584013175394</v>
      </c>
      <c r="J243" s="133">
        <v>1380.8230016469245</v>
      </c>
      <c r="K243" s="133">
        <v>0.4696991118430775</v>
      </c>
      <c r="L243" s="134">
        <v>3123474.1315709595</v>
      </c>
      <c r="M243" s="135">
        <v>52057.902192849324</v>
      </c>
      <c r="N243" s="135">
        <v>60236.442088933924</v>
      </c>
      <c r="O243" s="136">
        <v>47.560887524730823</v>
      </c>
      <c r="P243" s="135">
        <v>3123474.1315709595</v>
      </c>
      <c r="Q243" s="135">
        <v>52057.902192849324</v>
      </c>
      <c r="R243" s="135">
        <v>60236.442088933924</v>
      </c>
      <c r="S243" s="133">
        <v>47.560887524730823</v>
      </c>
      <c r="T243" s="134">
        <v>4885402.78994192</v>
      </c>
      <c r="U243" s="171"/>
      <c r="V243" s="137">
        <v>2</v>
      </c>
      <c r="W243" s="138">
        <v>3</v>
      </c>
      <c r="X243" s="138">
        <v>4</v>
      </c>
      <c r="Y243" s="138">
        <v>4</v>
      </c>
      <c r="Z243" s="138">
        <v>4</v>
      </c>
      <c r="AA243" s="139">
        <v>4</v>
      </c>
      <c r="AB243" s="138">
        <v>4</v>
      </c>
      <c r="AC243" s="138">
        <v>4</v>
      </c>
      <c r="AD243" s="138">
        <v>4</v>
      </c>
      <c r="AE243" s="138">
        <v>4</v>
      </c>
      <c r="AF243" s="137">
        <v>2</v>
      </c>
      <c r="AG243" s="138">
        <v>3</v>
      </c>
      <c r="AH243" s="138">
        <v>4</v>
      </c>
      <c r="AI243" s="138">
        <v>4</v>
      </c>
      <c r="AJ243" s="138">
        <v>4</v>
      </c>
      <c r="AK243" s="93">
        <f t="shared" si="20"/>
        <v>340.15881201490822</v>
      </c>
      <c r="AM243" s="173"/>
      <c r="AN243" s="174"/>
      <c r="AO243" s="138" t="s">
        <v>49</v>
      </c>
      <c r="AP243" s="138">
        <f t="shared" si="24"/>
        <v>0.49</v>
      </c>
      <c r="AQ243" s="140">
        <f>IF(head!F$82="S235",235,IF(head!F$82="S275",275,IF(head!F$82="S355",355,IF(head!F$82="S420",420,460))))^0.5*head!$G$70*1000/(S243*3.1416*210000^0.5)</f>
        <v>2.7517165165063444</v>
      </c>
      <c r="AR243" s="140">
        <f t="shared" si="21"/>
        <v>4.9111424401509591</v>
      </c>
      <c r="AS243" s="140">
        <f t="shared" si="22"/>
        <v>0.1113711121775548</v>
      </c>
      <c r="AT243" s="141">
        <f>IF(head!F$82="S235",235,IF(head!F$82="S275",275,IF(head!F$82="S355",355,IF(head!F$82="S420",420,460))))*AS243*J243/1000</f>
        <v>54.593246661887484</v>
      </c>
      <c r="AU243" s="199" t="s">
        <v>47</v>
      </c>
      <c r="AV243" s="142" t="s">
        <v>47</v>
      </c>
      <c r="AW243" s="142" t="s">
        <v>47</v>
      </c>
      <c r="AX243" s="143" t="s">
        <v>47</v>
      </c>
      <c r="AY243" s="135" t="s">
        <v>47</v>
      </c>
      <c r="AZ243" s="200">
        <v>0</v>
      </c>
      <c r="BA243" s="144" t="str">
        <f t="shared" si="23"/>
        <v>CF SHS 120 x 4</v>
      </c>
    </row>
    <row r="244" spans="1:53" s="146" customFormat="1">
      <c r="A244" s="128" t="s">
        <v>517</v>
      </c>
      <c r="B244" s="83">
        <f t="shared" si="18"/>
        <v>70.438965183112373</v>
      </c>
      <c r="C244" s="130">
        <v>120</v>
      </c>
      <c r="D244" s="130">
        <v>120</v>
      </c>
      <c r="E244" s="131">
        <v>4</v>
      </c>
      <c r="F244" s="130"/>
      <c r="G244" s="130"/>
      <c r="H244" s="132">
        <v>14.246152111872632</v>
      </c>
      <c r="I244" s="133">
        <v>14.51837157897848</v>
      </c>
      <c r="J244" s="133">
        <v>1814.79644737231</v>
      </c>
      <c r="K244" s="133">
        <v>0.46626548245743671</v>
      </c>
      <c r="L244" s="134">
        <v>4022758.855975505</v>
      </c>
      <c r="M244" s="135">
        <v>67045.980932925071</v>
      </c>
      <c r="N244" s="135">
        <v>78326.748596693462</v>
      </c>
      <c r="O244" s="136">
        <v>47.081255941811463</v>
      </c>
      <c r="P244" s="135">
        <v>4022758.855975505</v>
      </c>
      <c r="Q244" s="135">
        <v>67045.980932925071</v>
      </c>
      <c r="R244" s="135">
        <v>78326.748596693462</v>
      </c>
      <c r="S244" s="133">
        <v>47.081255941811463</v>
      </c>
      <c r="T244" s="134">
        <v>6379109.7158711087</v>
      </c>
      <c r="U244" s="171"/>
      <c r="V244" s="137">
        <v>1</v>
      </c>
      <c r="W244" s="138">
        <v>1</v>
      </c>
      <c r="X244" s="138">
        <v>1</v>
      </c>
      <c r="Y244" s="138">
        <v>2</v>
      </c>
      <c r="Z244" s="138">
        <v>2</v>
      </c>
      <c r="AA244" s="139">
        <v>1</v>
      </c>
      <c r="AB244" s="138">
        <v>2</v>
      </c>
      <c r="AC244" s="138">
        <v>2</v>
      </c>
      <c r="AD244" s="138">
        <v>3</v>
      </c>
      <c r="AE244" s="138">
        <v>4</v>
      </c>
      <c r="AF244" s="137">
        <v>1</v>
      </c>
      <c r="AG244" s="138">
        <v>1</v>
      </c>
      <c r="AH244" s="138">
        <v>1</v>
      </c>
      <c r="AI244" s="138">
        <v>2</v>
      </c>
      <c r="AJ244" s="138">
        <v>2</v>
      </c>
      <c r="AK244" s="93">
        <f t="shared" si="20"/>
        <v>256.92439674573666</v>
      </c>
      <c r="AM244" s="173"/>
      <c r="AN244" s="174"/>
      <c r="AO244" s="138" t="s">
        <v>49</v>
      </c>
      <c r="AP244" s="138">
        <f t="shared" si="24"/>
        <v>0.49</v>
      </c>
      <c r="AQ244" s="140">
        <f>IF(head!F$82="S235",235,IF(head!F$82="S275",275,IF(head!F$82="S355",355,IF(head!F$82="S420",420,460))))^0.5*head!$G$70*1000/(S244*3.1416*210000^0.5)</f>
        <v>2.7797491193364059</v>
      </c>
      <c r="AR244" s="140">
        <f t="shared" si="21"/>
        <v>4.9955411174631816</v>
      </c>
      <c r="AS244" s="140">
        <f t="shared" si="22"/>
        <v>0.10933436668416241</v>
      </c>
      <c r="AT244" s="141">
        <f>IF(head!F$82="S235",235,IF(head!F$82="S275",275,IF(head!F$82="S355",355,IF(head!F$82="S420",420,460))))*AS244*J244/1000</f>
        <v>70.438965183112373</v>
      </c>
      <c r="AU244" s="199" t="s">
        <v>47</v>
      </c>
      <c r="AV244" s="142" t="s">
        <v>47</v>
      </c>
      <c r="AW244" s="142" t="s">
        <v>47</v>
      </c>
      <c r="AX244" s="143" t="s">
        <v>47</v>
      </c>
      <c r="AY244" s="135" t="s">
        <v>47</v>
      </c>
      <c r="AZ244" s="200">
        <v>0</v>
      </c>
      <c r="BA244" s="144" t="str">
        <f t="shared" si="23"/>
        <v>CF SHS 120 x 5</v>
      </c>
    </row>
    <row r="245" spans="1:53" s="146" customFormat="1">
      <c r="A245" s="128" t="s">
        <v>277</v>
      </c>
      <c r="B245" s="83">
        <f t="shared" si="18"/>
        <v>85.161662791531683</v>
      </c>
      <c r="C245" s="130">
        <v>120</v>
      </c>
      <c r="D245" s="130">
        <v>120</v>
      </c>
      <c r="E245" s="131">
        <v>5</v>
      </c>
      <c r="F245" s="130"/>
      <c r="G245" s="130"/>
      <c r="H245" s="132">
        <v>17.54961267480099</v>
      </c>
      <c r="I245" s="133">
        <v>17.884955592153876</v>
      </c>
      <c r="J245" s="133">
        <v>2235.6194490192347</v>
      </c>
      <c r="K245" s="133">
        <v>0.46283185307179586</v>
      </c>
      <c r="L245" s="134">
        <v>4854745.0636632694</v>
      </c>
      <c r="M245" s="135">
        <v>80912.417727721142</v>
      </c>
      <c r="N245" s="135">
        <v>95447.639117628394</v>
      </c>
      <c r="O245" s="136">
        <v>46.599823828155955</v>
      </c>
      <c r="P245" s="135">
        <v>4854745.0636632694</v>
      </c>
      <c r="Q245" s="135">
        <v>80912.417727721142</v>
      </c>
      <c r="R245" s="135">
        <v>95447.639117628394</v>
      </c>
      <c r="S245" s="133">
        <v>46.599823828155955</v>
      </c>
      <c r="T245" s="134">
        <v>7804105.5307649504</v>
      </c>
      <c r="U245" s="171"/>
      <c r="V245" s="137">
        <v>1</v>
      </c>
      <c r="W245" s="138">
        <v>1</v>
      </c>
      <c r="X245" s="138">
        <v>1</v>
      </c>
      <c r="Y245" s="138">
        <v>1</v>
      </c>
      <c r="Z245" s="138">
        <v>1</v>
      </c>
      <c r="AA245" s="139">
        <v>1</v>
      </c>
      <c r="AB245" s="138">
        <v>1</v>
      </c>
      <c r="AC245" s="138">
        <v>1</v>
      </c>
      <c r="AD245" s="138">
        <v>1</v>
      </c>
      <c r="AE245" s="138">
        <v>1</v>
      </c>
      <c r="AF245" s="137">
        <v>1</v>
      </c>
      <c r="AG245" s="138">
        <v>1</v>
      </c>
      <c r="AH245" s="138">
        <v>1</v>
      </c>
      <c r="AI245" s="138">
        <v>1</v>
      </c>
      <c r="AJ245" s="138">
        <v>1</v>
      </c>
      <c r="AK245" s="93">
        <f t="shared" si="20"/>
        <v>207.0262241075242</v>
      </c>
      <c r="AM245" s="173"/>
      <c r="AN245" s="174"/>
      <c r="AO245" s="138" t="s">
        <v>49</v>
      </c>
      <c r="AP245" s="138">
        <f t="shared" si="24"/>
        <v>0.49</v>
      </c>
      <c r="AQ245" s="140">
        <f>IF(head!F$82="S235",235,IF(head!F$82="S275",275,IF(head!F$82="S355",355,IF(head!F$82="S420",420,460))))^0.5*head!$G$70*1000/(S245*3.1416*210000^0.5)</f>
        <v>2.808467264256636</v>
      </c>
      <c r="AR245" s="140">
        <f t="shared" si="21"/>
        <v>5.0828186669434521</v>
      </c>
      <c r="AS245" s="140">
        <f t="shared" si="22"/>
        <v>0.1073044913653395</v>
      </c>
      <c r="AT245" s="141">
        <f>IF(head!F$82="S235",235,IF(head!F$82="S275",275,IF(head!F$82="S355",355,IF(head!F$82="S420",420,460))))*AS245*J245/1000</f>
        <v>85.161662791531683</v>
      </c>
      <c r="AU245" s="199" t="s">
        <v>47</v>
      </c>
      <c r="AV245" s="142" t="s">
        <v>47</v>
      </c>
      <c r="AW245" s="142" t="s">
        <v>47</v>
      </c>
      <c r="AX245" s="143" t="s">
        <v>47</v>
      </c>
      <c r="AY245" s="135" t="s">
        <v>47</v>
      </c>
      <c r="AZ245" s="200">
        <v>0</v>
      </c>
      <c r="BA245" s="144" t="str">
        <f t="shared" si="23"/>
        <v>CF SHS 120 x 6</v>
      </c>
    </row>
    <row r="246" spans="1:53" s="146" customFormat="1">
      <c r="A246" s="128" t="s">
        <v>278</v>
      </c>
      <c r="B246" s="83">
        <f t="shared" si="18"/>
        <v>98.792784551484246</v>
      </c>
      <c r="C246" s="130">
        <v>120</v>
      </c>
      <c r="D246" s="130">
        <v>120</v>
      </c>
      <c r="E246" s="131">
        <v>6</v>
      </c>
      <c r="F246" s="130"/>
      <c r="G246" s="130"/>
      <c r="H246" s="132">
        <v>20.749842251713428</v>
      </c>
      <c r="I246" s="133">
        <v>21.146336052701582</v>
      </c>
      <c r="J246" s="133">
        <v>2643.2920065876979</v>
      </c>
      <c r="K246" s="133">
        <v>0.45939822368615502</v>
      </c>
      <c r="L246" s="134">
        <v>5621572.9234745018</v>
      </c>
      <c r="M246" s="135">
        <v>93692.882057908369</v>
      </c>
      <c r="N246" s="135">
        <v>111614.01631620948</v>
      </c>
      <c r="O246" s="136">
        <v>46.116501470017305</v>
      </c>
      <c r="P246" s="135">
        <v>5621572.9234745018</v>
      </c>
      <c r="Q246" s="135">
        <v>93692.882057908369</v>
      </c>
      <c r="R246" s="135">
        <v>111614.01631620948</v>
      </c>
      <c r="S246" s="133">
        <v>46.116501470017305</v>
      </c>
      <c r="T246" s="134">
        <v>9159570.7882669996</v>
      </c>
      <c r="U246" s="171"/>
      <c r="V246" s="137">
        <v>1</v>
      </c>
      <c r="W246" s="138">
        <v>1</v>
      </c>
      <c r="X246" s="138">
        <v>1</v>
      </c>
      <c r="Y246" s="138">
        <v>1</v>
      </c>
      <c r="Z246" s="138">
        <v>1</v>
      </c>
      <c r="AA246" s="139">
        <v>1</v>
      </c>
      <c r="AB246" s="138">
        <v>1</v>
      </c>
      <c r="AC246" s="138">
        <v>1</v>
      </c>
      <c r="AD246" s="138">
        <v>1</v>
      </c>
      <c r="AE246" s="138">
        <v>1</v>
      </c>
      <c r="AF246" s="137">
        <v>1</v>
      </c>
      <c r="AG246" s="138">
        <v>1</v>
      </c>
      <c r="AH246" s="138">
        <v>1</v>
      </c>
      <c r="AI246" s="138">
        <v>1</v>
      </c>
      <c r="AJ246" s="138">
        <v>1</v>
      </c>
      <c r="AK246" s="93">
        <f t="shared" si="20"/>
        <v>173.79775769806281</v>
      </c>
      <c r="AM246" s="173"/>
      <c r="AN246" s="174"/>
      <c r="AO246" s="138" t="s">
        <v>49</v>
      </c>
      <c r="AP246" s="138">
        <f t="shared" si="24"/>
        <v>0.49</v>
      </c>
      <c r="AQ246" s="140">
        <f>IF(head!F$82="S235",235,IF(head!F$82="S275",275,IF(head!F$82="S355",355,IF(head!F$82="S420",420,460))))^0.5*head!$G$70*1000/(S246*3.1416*210000^0.5)</f>
        <v>2.8379013058176215</v>
      </c>
      <c r="AR246" s="140">
        <f t="shared" si="21"/>
        <v>5.173127730705998</v>
      </c>
      <c r="AS246" s="140">
        <f t="shared" si="22"/>
        <v>0.10528141925079816</v>
      </c>
      <c r="AT246" s="141">
        <f>IF(head!F$82="S235",235,IF(head!F$82="S275",275,IF(head!F$82="S355",355,IF(head!F$82="S420",420,460))))*AS246*J246/1000</f>
        <v>98.792784551484246</v>
      </c>
      <c r="AU246" s="199" t="s">
        <v>47</v>
      </c>
      <c r="AV246" s="142" t="s">
        <v>47</v>
      </c>
      <c r="AW246" s="142" t="s">
        <v>47</v>
      </c>
      <c r="AX246" s="143" t="s">
        <v>47</v>
      </c>
      <c r="AY246" s="135" t="s">
        <v>47</v>
      </c>
      <c r="AZ246" s="200">
        <v>0</v>
      </c>
      <c r="BA246" s="144" t="str">
        <f t="shared" si="23"/>
        <v>CF SHS 120 x 8</v>
      </c>
    </row>
    <row r="247" spans="1:53" s="146" customFormat="1">
      <c r="A247" s="128" t="s">
        <v>518</v>
      </c>
      <c r="B247" s="83">
        <f t="shared" si="18"/>
        <v>119.51647376312351</v>
      </c>
      <c r="C247" s="130">
        <v>120</v>
      </c>
      <c r="D247" s="130">
        <v>120</v>
      </c>
      <c r="E247" s="131">
        <v>8</v>
      </c>
      <c r="F247" s="130"/>
      <c r="G247" s="130"/>
      <c r="H247" s="132">
        <v>26.409344596654048</v>
      </c>
      <c r="I247" s="133">
        <v>26.913981754551894</v>
      </c>
      <c r="J247" s="133">
        <v>3364.247719318987</v>
      </c>
      <c r="K247" s="133">
        <v>0.44566370614359174</v>
      </c>
      <c r="L247" s="134">
        <v>6768760.7074044272</v>
      </c>
      <c r="M247" s="135">
        <v>112812.67845674045</v>
      </c>
      <c r="N247" s="135">
        <v>137812.57543942615</v>
      </c>
      <c r="O247" s="136">
        <v>44.854972748149009</v>
      </c>
      <c r="P247" s="135">
        <v>6768760.7074044272</v>
      </c>
      <c r="Q247" s="135">
        <v>112812.67845674045</v>
      </c>
      <c r="R247" s="135">
        <v>137812.57543942615</v>
      </c>
      <c r="S247" s="133">
        <v>44.854972748149009</v>
      </c>
      <c r="T247" s="134">
        <v>11650389.5531788</v>
      </c>
      <c r="U247" s="171"/>
      <c r="V247" s="137">
        <v>1</v>
      </c>
      <c r="W247" s="138">
        <v>1</v>
      </c>
      <c r="X247" s="138">
        <v>1</v>
      </c>
      <c r="Y247" s="138">
        <v>1</v>
      </c>
      <c r="Z247" s="138">
        <v>1</v>
      </c>
      <c r="AA247" s="139">
        <v>1</v>
      </c>
      <c r="AB247" s="138">
        <v>1</v>
      </c>
      <c r="AC247" s="138">
        <v>1</v>
      </c>
      <c r="AD247" s="138">
        <v>1</v>
      </c>
      <c r="AE247" s="138">
        <v>1</v>
      </c>
      <c r="AF247" s="137">
        <v>1</v>
      </c>
      <c r="AG247" s="138">
        <v>1</v>
      </c>
      <c r="AH247" s="138">
        <v>1</v>
      </c>
      <c r="AI247" s="138">
        <v>1</v>
      </c>
      <c r="AJ247" s="138">
        <v>1</v>
      </c>
      <c r="AK247" s="93">
        <f t="shared" si="20"/>
        <v>132.47053823783401</v>
      </c>
      <c r="AM247" s="173"/>
      <c r="AN247" s="174"/>
      <c r="AO247" s="138" t="s">
        <v>49</v>
      </c>
      <c r="AP247" s="138">
        <f t="shared" si="24"/>
        <v>0.49</v>
      </c>
      <c r="AQ247" s="140">
        <f>IF(head!F$82="S235",235,IF(head!F$82="S275",275,IF(head!F$82="S355",355,IF(head!F$82="S420",420,460))))^0.5*head!$G$70*1000/(S247*3.1416*210000^0.5)</f>
        <v>2.9177161800171425</v>
      </c>
      <c r="AR247" s="140">
        <f t="shared" si="21"/>
        <v>5.422374317671113</v>
      </c>
      <c r="AS247" s="140">
        <f t="shared" si="22"/>
        <v>0.10007174006334897</v>
      </c>
      <c r="AT247" s="141">
        <f>IF(head!F$82="S235",235,IF(head!F$82="S275",275,IF(head!F$82="S355",355,IF(head!F$82="S420",420,460))))*AS247*J247/1000</f>
        <v>119.51647376312351</v>
      </c>
      <c r="AU247" s="199" t="s">
        <v>47</v>
      </c>
      <c r="AV247" s="142" t="s">
        <v>47</v>
      </c>
      <c r="AW247" s="142" t="s">
        <v>47</v>
      </c>
      <c r="AX247" s="143" t="s">
        <v>47</v>
      </c>
      <c r="AY247" s="135" t="s">
        <v>47</v>
      </c>
      <c r="AZ247" s="200">
        <v>0</v>
      </c>
      <c r="BA247" s="144" t="str">
        <f t="shared" si="23"/>
        <v>CF SHS 120 x 10</v>
      </c>
    </row>
    <row r="248" spans="1:53" s="146" customFormat="1">
      <c r="A248" s="128" t="s">
        <v>519</v>
      </c>
      <c r="B248" s="83">
        <f t="shared" si="18"/>
        <v>137.7216502541753</v>
      </c>
      <c r="C248" s="130">
        <v>120</v>
      </c>
      <c r="D248" s="130">
        <v>120</v>
      </c>
      <c r="E248" s="131">
        <v>10</v>
      </c>
      <c r="F248" s="130"/>
      <c r="G248" s="130"/>
      <c r="H248" s="132">
        <v>31.844600932271948</v>
      </c>
      <c r="I248" s="133">
        <v>32.453096491487337</v>
      </c>
      <c r="J248" s="133">
        <v>4056.6370614359171</v>
      </c>
      <c r="K248" s="133">
        <v>0.43707963267948968</v>
      </c>
      <c r="L248" s="134">
        <v>7768082.4424807988</v>
      </c>
      <c r="M248" s="135">
        <v>129468.04070801332</v>
      </c>
      <c r="N248" s="135">
        <v>161815.63048359044</v>
      </c>
      <c r="O248" s="136">
        <v>43.75964962367884</v>
      </c>
      <c r="P248" s="135">
        <v>7768082.4424807988</v>
      </c>
      <c r="Q248" s="135">
        <v>129468.04070801332</v>
      </c>
      <c r="R248" s="135">
        <v>161815.63048359044</v>
      </c>
      <c r="S248" s="133">
        <v>43.75964962367884</v>
      </c>
      <c r="T248" s="134">
        <v>13783139.0221691</v>
      </c>
      <c r="U248" s="171"/>
      <c r="V248" s="137">
        <v>1</v>
      </c>
      <c r="W248" s="138">
        <v>1</v>
      </c>
      <c r="X248" s="138">
        <v>1</v>
      </c>
      <c r="Y248" s="138">
        <v>1</v>
      </c>
      <c r="Z248" s="138">
        <v>1</v>
      </c>
      <c r="AA248" s="139">
        <v>1</v>
      </c>
      <c r="AB248" s="138">
        <v>1</v>
      </c>
      <c r="AC248" s="138">
        <v>1</v>
      </c>
      <c r="AD248" s="138">
        <v>1</v>
      </c>
      <c r="AE248" s="138">
        <v>1</v>
      </c>
      <c r="AF248" s="137">
        <v>1</v>
      </c>
      <c r="AG248" s="138">
        <v>1</v>
      </c>
      <c r="AH248" s="138">
        <v>1</v>
      </c>
      <c r="AI248" s="138">
        <v>1</v>
      </c>
      <c r="AJ248" s="138">
        <v>1</v>
      </c>
      <c r="AK248" s="93">
        <f t="shared" si="20"/>
        <v>107.74432764383852</v>
      </c>
      <c r="AM248" s="173"/>
      <c r="AN248" s="174"/>
      <c r="AO248" s="138" t="s">
        <v>49</v>
      </c>
      <c r="AP248" s="138">
        <f t="shared" si="24"/>
        <v>0.49</v>
      </c>
      <c r="AQ248" s="140">
        <f>IF(head!F$82="S235",235,IF(head!F$82="S275",275,IF(head!F$82="S355",355,IF(head!F$82="S420",420,460))))^0.5*head!$G$70*1000/(S248*3.1416*210000^0.5)</f>
        <v>2.9907478891395174</v>
      </c>
      <c r="AR248" s="140">
        <f t="shared" si="21"/>
        <v>5.6560197010354214</v>
      </c>
      <c r="AS248" s="140">
        <f t="shared" si="22"/>
        <v>9.563298483444331E-2</v>
      </c>
      <c r="AT248" s="141">
        <f>IF(head!F$82="S235",235,IF(head!F$82="S275",275,IF(head!F$82="S355",355,IF(head!F$82="S420",420,460))))*AS248*J248/1000</f>
        <v>137.7216502541753</v>
      </c>
      <c r="AU248" s="199" t="s">
        <v>47</v>
      </c>
      <c r="AV248" s="142" t="s">
        <v>47</v>
      </c>
      <c r="AW248" s="142" t="s">
        <v>47</v>
      </c>
      <c r="AX248" s="143" t="s">
        <v>47</v>
      </c>
      <c r="AY248" s="135" t="s">
        <v>47</v>
      </c>
      <c r="AZ248" s="200">
        <v>0</v>
      </c>
      <c r="BA248" s="144" t="str">
        <f t="shared" si="23"/>
        <v>CF SHS 125 x 5</v>
      </c>
    </row>
    <row r="249" spans="1:53" s="146" customFormat="1">
      <c r="A249" s="128" t="s">
        <v>520</v>
      </c>
      <c r="B249" s="83">
        <f t="shared" ref="B249:B291" si="25">AT249</f>
        <v>96.192377343433492</v>
      </c>
      <c r="C249" s="130">
        <v>125</v>
      </c>
      <c r="D249" s="130">
        <v>125</v>
      </c>
      <c r="E249" s="131">
        <v>5</v>
      </c>
      <c r="F249" s="130"/>
      <c r="G249" s="130"/>
      <c r="H249" s="132">
        <v>18.33461267480099</v>
      </c>
      <c r="I249" s="133">
        <v>18.684955592153877</v>
      </c>
      <c r="J249" s="133">
        <v>2335.6194490192347</v>
      </c>
      <c r="K249" s="133">
        <v>0.48283185307179588</v>
      </c>
      <c r="L249" s="134">
        <v>5526164.2141411137</v>
      </c>
      <c r="M249" s="135">
        <v>88418.627426257808</v>
      </c>
      <c r="N249" s="135">
        <v>104099.18774017648</v>
      </c>
      <c r="O249" s="136">
        <v>48.641935953491604</v>
      </c>
      <c r="P249" s="135">
        <v>5526164.2141411137</v>
      </c>
      <c r="Q249" s="135">
        <v>88418.627426257808</v>
      </c>
      <c r="R249" s="135">
        <v>104099.18774017648</v>
      </c>
      <c r="S249" s="133">
        <v>48.641935953491604</v>
      </c>
      <c r="T249" s="134">
        <v>8859329.7907833401</v>
      </c>
      <c r="U249" s="171"/>
      <c r="V249" s="137">
        <v>1</v>
      </c>
      <c r="W249" s="138">
        <v>1</v>
      </c>
      <c r="X249" s="138">
        <v>1</v>
      </c>
      <c r="Y249" s="138">
        <v>1</v>
      </c>
      <c r="Z249" s="138">
        <v>1</v>
      </c>
      <c r="AA249" s="139">
        <v>1</v>
      </c>
      <c r="AB249" s="138">
        <v>1</v>
      </c>
      <c r="AC249" s="138">
        <v>1</v>
      </c>
      <c r="AD249" s="138">
        <v>2</v>
      </c>
      <c r="AE249" s="138">
        <v>2</v>
      </c>
      <c r="AF249" s="137">
        <v>1</v>
      </c>
      <c r="AG249" s="138">
        <v>1</v>
      </c>
      <c r="AH249" s="138">
        <v>1</v>
      </c>
      <c r="AI249" s="138">
        <v>1</v>
      </c>
      <c r="AJ249" s="138">
        <v>1</v>
      </c>
      <c r="AK249" s="93">
        <f t="shared" si="20"/>
        <v>206.72539495873139</v>
      </c>
      <c r="AM249" s="173"/>
      <c r="AN249" s="174"/>
      <c r="AO249" s="138" t="s">
        <v>49</v>
      </c>
      <c r="AP249" s="138">
        <f t="shared" si="24"/>
        <v>0.49</v>
      </c>
      <c r="AQ249" s="140">
        <f>IF(head!F$82="S235",235,IF(head!F$82="S275",275,IF(head!F$82="S355",355,IF(head!F$82="S420",420,460))))^0.5*head!$G$70*1000/(S249*3.1416*210000^0.5)</f>
        <v>2.6905606690209867</v>
      </c>
      <c r="AR249" s="140">
        <f t="shared" si="21"/>
        <v>4.7297457207514721</v>
      </c>
      <c r="AS249" s="140">
        <f t="shared" si="22"/>
        <v>0.11601395224496946</v>
      </c>
      <c r="AT249" s="141">
        <f>IF(head!F$82="S235",235,IF(head!F$82="S275",275,IF(head!F$82="S355",355,IF(head!F$82="S420",420,460))))*AS249*J249/1000</f>
        <v>96.192377343433492</v>
      </c>
      <c r="AU249" s="199" t="s">
        <v>47</v>
      </c>
      <c r="AV249" s="142" t="s">
        <v>47</v>
      </c>
      <c r="AW249" s="142" t="s">
        <v>47</v>
      </c>
      <c r="AX249" s="143" t="s">
        <v>47</v>
      </c>
      <c r="AY249" s="135" t="s">
        <v>47</v>
      </c>
      <c r="AZ249" s="200">
        <v>0</v>
      </c>
      <c r="BA249" s="144" t="str">
        <f t="shared" si="23"/>
        <v>CF SHS 140 x 4</v>
      </c>
    </row>
    <row r="250" spans="1:53" s="146" customFormat="1">
      <c r="A250" s="128" t="s">
        <v>521</v>
      </c>
      <c r="B250" s="83">
        <f t="shared" si="25"/>
        <v>110.54455887674322</v>
      </c>
      <c r="C250" s="130">
        <v>140</v>
      </c>
      <c r="D250" s="130">
        <v>140</v>
      </c>
      <c r="E250" s="131">
        <v>4</v>
      </c>
      <c r="F250" s="130"/>
      <c r="G250" s="130"/>
      <c r="H250" s="132">
        <v>16.758152111872633</v>
      </c>
      <c r="I250" s="133">
        <v>17.07837157897848</v>
      </c>
      <c r="J250" s="133">
        <v>2134.79644737231</v>
      </c>
      <c r="K250" s="133">
        <v>0.54626548245743678</v>
      </c>
      <c r="L250" s="134">
        <v>6516160.1393132703</v>
      </c>
      <c r="M250" s="135">
        <v>93088.001990189587</v>
      </c>
      <c r="N250" s="135">
        <v>108154.71307041656</v>
      </c>
      <c r="O250" s="136">
        <v>55.248137101407849</v>
      </c>
      <c r="P250" s="135">
        <v>6516160.1393132703</v>
      </c>
      <c r="Q250" s="135">
        <v>93088.001990189587</v>
      </c>
      <c r="R250" s="135">
        <v>108154.71307041656</v>
      </c>
      <c r="S250" s="133">
        <v>55.248137101407849</v>
      </c>
      <c r="T250" s="134">
        <v>10252272.849938201</v>
      </c>
      <c r="U250" s="171"/>
      <c r="V250" s="137">
        <v>1</v>
      </c>
      <c r="W250" s="138">
        <v>2</v>
      </c>
      <c r="X250" s="138">
        <v>3</v>
      </c>
      <c r="Y250" s="138">
        <v>3</v>
      </c>
      <c r="Z250" s="138">
        <v>4</v>
      </c>
      <c r="AA250" s="139">
        <v>2</v>
      </c>
      <c r="AB250" s="138">
        <v>3</v>
      </c>
      <c r="AC250" s="138">
        <v>4</v>
      </c>
      <c r="AD250" s="138">
        <v>4</v>
      </c>
      <c r="AE250" s="138">
        <v>4</v>
      </c>
      <c r="AF250" s="137">
        <v>1</v>
      </c>
      <c r="AG250" s="138">
        <v>2</v>
      </c>
      <c r="AH250" s="138">
        <v>3</v>
      </c>
      <c r="AI250" s="138">
        <v>3</v>
      </c>
      <c r="AJ250" s="138">
        <v>4</v>
      </c>
      <c r="AK250" s="93">
        <f t="shared" si="20"/>
        <v>255.88644909439822</v>
      </c>
      <c r="AM250" s="173"/>
      <c r="AN250" s="174"/>
      <c r="AO250" s="138" t="s">
        <v>49</v>
      </c>
      <c r="AP250" s="138">
        <f t="shared" si="24"/>
        <v>0.49</v>
      </c>
      <c r="AQ250" s="140">
        <f>IF(head!F$82="S235",235,IF(head!F$82="S275",275,IF(head!F$82="S355",355,IF(head!F$82="S420",420,460))))^0.5*head!$G$70*1000/(S250*3.1416*210000^0.5)</f>
        <v>2.3688414959817239</v>
      </c>
      <c r="AR250" s="140">
        <f t="shared" si="21"/>
        <v>3.8370711830579882</v>
      </c>
      <c r="AS250" s="140">
        <f t="shared" si="22"/>
        <v>0.14586548707243216</v>
      </c>
      <c r="AT250" s="141">
        <f>IF(head!F$82="S235",235,IF(head!F$82="S275",275,IF(head!F$82="S355",355,IF(head!F$82="S420",420,460))))*AS250*J250/1000</f>
        <v>110.54455887674322</v>
      </c>
      <c r="AU250" s="199" t="s">
        <v>47</v>
      </c>
      <c r="AV250" s="142" t="s">
        <v>47</v>
      </c>
      <c r="AW250" s="142" t="s">
        <v>47</v>
      </c>
      <c r="AX250" s="143" t="s">
        <v>47</v>
      </c>
      <c r="AY250" s="135" t="s">
        <v>47</v>
      </c>
      <c r="AZ250" s="200">
        <v>0</v>
      </c>
      <c r="BA250" s="144" t="str">
        <f t="shared" si="23"/>
        <v>CF SHS 140 x 5</v>
      </c>
    </row>
    <row r="251" spans="1:53" s="146" customFormat="1">
      <c r="A251" s="128" t="s">
        <v>522</v>
      </c>
      <c r="B251" s="83">
        <f t="shared" si="25"/>
        <v>134.37205407877349</v>
      </c>
      <c r="C251" s="130">
        <v>140</v>
      </c>
      <c r="D251" s="130">
        <v>140</v>
      </c>
      <c r="E251" s="131">
        <v>5</v>
      </c>
      <c r="F251" s="130"/>
      <c r="G251" s="130"/>
      <c r="H251" s="132">
        <v>20.689612674800991</v>
      </c>
      <c r="I251" s="133">
        <v>21.084955592153875</v>
      </c>
      <c r="J251" s="133">
        <v>2635.6194490192347</v>
      </c>
      <c r="K251" s="133">
        <v>0.54283185307179582</v>
      </c>
      <c r="L251" s="134">
        <v>7905593.1242510946</v>
      </c>
      <c r="M251" s="135">
        <v>112937.04463215849</v>
      </c>
      <c r="N251" s="135">
        <v>132303.83360782074</v>
      </c>
      <c r="O251" s="136">
        <v>54.767873360155981</v>
      </c>
      <c r="P251" s="135">
        <v>7905593.1242510946</v>
      </c>
      <c r="Q251" s="135">
        <v>112937.04463215849</v>
      </c>
      <c r="R251" s="135">
        <v>132303.83360782074</v>
      </c>
      <c r="S251" s="133">
        <v>54.767873360155981</v>
      </c>
      <c r="T251" s="134">
        <v>12585422.5537501</v>
      </c>
      <c r="U251" s="171"/>
      <c r="V251" s="137">
        <v>1</v>
      </c>
      <c r="W251" s="138">
        <v>1</v>
      </c>
      <c r="X251" s="138">
        <v>1</v>
      </c>
      <c r="Y251" s="138">
        <v>1</v>
      </c>
      <c r="Z251" s="138">
        <v>2</v>
      </c>
      <c r="AA251" s="139">
        <v>1</v>
      </c>
      <c r="AB251" s="138">
        <v>1</v>
      </c>
      <c r="AC251" s="138">
        <v>2</v>
      </c>
      <c r="AD251" s="138">
        <v>2</v>
      </c>
      <c r="AE251" s="138">
        <v>3</v>
      </c>
      <c r="AF251" s="137">
        <v>1</v>
      </c>
      <c r="AG251" s="138">
        <v>1</v>
      </c>
      <c r="AH251" s="138">
        <v>1</v>
      </c>
      <c r="AI251" s="138">
        <v>1</v>
      </c>
      <c r="AJ251" s="138">
        <v>2</v>
      </c>
      <c r="AK251" s="93">
        <f t="shared" si="20"/>
        <v>205.95987530513713</v>
      </c>
      <c r="AM251" s="173"/>
      <c r="AN251" s="174"/>
      <c r="AO251" s="138" t="s">
        <v>49</v>
      </c>
      <c r="AP251" s="138">
        <f t="shared" si="24"/>
        <v>0.49</v>
      </c>
      <c r="AQ251" s="140">
        <f>IF(head!F$82="S235",235,IF(head!F$82="S275",275,IF(head!F$82="S355",355,IF(head!F$82="S420",420,460))))^0.5*head!$G$70*1000/(S251*3.1416*210000^0.5)</f>
        <v>2.3896140513046502</v>
      </c>
      <c r="AR251" s="140">
        <f t="shared" si="21"/>
        <v>3.8915830996659508</v>
      </c>
      <c r="AS251" s="140">
        <f t="shared" si="22"/>
        <v>0.14361437062993415</v>
      </c>
      <c r="AT251" s="141">
        <f>IF(head!F$82="S235",235,IF(head!F$82="S275",275,IF(head!F$82="S355",355,IF(head!F$82="S420",420,460))))*AS251*J251/1000</f>
        <v>134.37205407877349</v>
      </c>
      <c r="AU251" s="199" t="s">
        <v>47</v>
      </c>
      <c r="AV251" s="142" t="s">
        <v>47</v>
      </c>
      <c r="AW251" s="142" t="s">
        <v>47</v>
      </c>
      <c r="AX251" s="143" t="s">
        <v>47</v>
      </c>
      <c r="AY251" s="135" t="s">
        <v>47</v>
      </c>
      <c r="AZ251" s="200">
        <v>0</v>
      </c>
      <c r="BA251" s="144" t="str">
        <f t="shared" si="23"/>
        <v>CF SHS 140 x 6</v>
      </c>
    </row>
    <row r="252" spans="1:53" s="146" customFormat="1">
      <c r="A252" s="128" t="s">
        <v>279</v>
      </c>
      <c r="B252" s="83">
        <f t="shared" si="25"/>
        <v>156.74449067828036</v>
      </c>
      <c r="C252" s="130">
        <v>140</v>
      </c>
      <c r="D252" s="130">
        <v>140</v>
      </c>
      <c r="E252" s="131">
        <v>6</v>
      </c>
      <c r="F252" s="130"/>
      <c r="G252" s="130"/>
      <c r="H252" s="132">
        <v>24.517842251713429</v>
      </c>
      <c r="I252" s="133">
        <v>24.986336052701585</v>
      </c>
      <c r="J252" s="133">
        <v>3123.2920065876979</v>
      </c>
      <c r="K252" s="133">
        <v>0.53939822368615498</v>
      </c>
      <c r="L252" s="134">
        <v>9204262.4504574612</v>
      </c>
      <c r="M252" s="135">
        <v>131489.46357796373</v>
      </c>
      <c r="N252" s="135">
        <v>155326.93638208645</v>
      </c>
      <c r="O252" s="136">
        <v>54.286044950918267</v>
      </c>
      <c r="P252" s="135">
        <v>9204262.4504574612</v>
      </c>
      <c r="Q252" s="135">
        <v>131489.46357796373</v>
      </c>
      <c r="R252" s="135">
        <v>155326.93638208645</v>
      </c>
      <c r="S252" s="133">
        <v>54.286044950918267</v>
      </c>
      <c r="T252" s="134">
        <v>14824734.119164901</v>
      </c>
      <c r="U252" s="171"/>
      <c r="V252" s="137">
        <v>1</v>
      </c>
      <c r="W252" s="138">
        <v>1</v>
      </c>
      <c r="X252" s="138">
        <v>1</v>
      </c>
      <c r="Y252" s="138">
        <v>1</v>
      </c>
      <c r="Z252" s="138">
        <v>1</v>
      </c>
      <c r="AA252" s="139">
        <v>1</v>
      </c>
      <c r="AB252" s="138">
        <v>1</v>
      </c>
      <c r="AC252" s="138">
        <v>1</v>
      </c>
      <c r="AD252" s="138">
        <v>1</v>
      </c>
      <c r="AE252" s="138">
        <v>1</v>
      </c>
      <c r="AF252" s="137">
        <v>1</v>
      </c>
      <c r="AG252" s="138">
        <v>1</v>
      </c>
      <c r="AH252" s="138">
        <v>1</v>
      </c>
      <c r="AI252" s="138">
        <v>1</v>
      </c>
      <c r="AJ252" s="138">
        <v>1</v>
      </c>
      <c r="AK252" s="93">
        <f t="shared" si="20"/>
        <v>172.70182312394985</v>
      </c>
      <c r="AM252" s="173"/>
      <c r="AN252" s="174"/>
      <c r="AO252" s="138" t="s">
        <v>49</v>
      </c>
      <c r="AP252" s="138">
        <f t="shared" si="24"/>
        <v>0.49</v>
      </c>
      <c r="AQ252" s="140">
        <f>IF(head!F$82="S235",235,IF(head!F$82="S275",275,IF(head!F$82="S355",355,IF(head!F$82="S420",420,460))))^0.5*head!$G$70*1000/(S252*3.1416*210000^0.5)</f>
        <v>2.4108236262160885</v>
      </c>
      <c r="AR252" s="140">
        <f t="shared" si="21"/>
        <v>3.9476870667837867</v>
      </c>
      <c r="AS252" s="140">
        <f t="shared" si="22"/>
        <v>0.1413680743354275</v>
      </c>
      <c r="AT252" s="141">
        <f>IF(head!F$82="S235",235,IF(head!F$82="S275",275,IF(head!F$82="S355",355,IF(head!F$82="S420",420,460))))*AS252*J252/1000</f>
        <v>156.74449067828036</v>
      </c>
      <c r="AU252" s="199" t="s">
        <v>47</v>
      </c>
      <c r="AV252" s="142" t="s">
        <v>47</v>
      </c>
      <c r="AW252" s="142" t="s">
        <v>47</v>
      </c>
      <c r="AX252" s="143" t="s">
        <v>47</v>
      </c>
      <c r="AY252" s="135" t="s">
        <v>47</v>
      </c>
      <c r="AZ252" s="200">
        <v>0</v>
      </c>
      <c r="BA252" s="144" t="str">
        <f t="shared" si="23"/>
        <v>CF SHS 140 x 8</v>
      </c>
    </row>
    <row r="253" spans="1:53" s="146" customFormat="1">
      <c r="A253" s="128" t="s">
        <v>523</v>
      </c>
      <c r="B253" s="83">
        <f t="shared" si="25"/>
        <v>192.8231273654221</v>
      </c>
      <c r="C253" s="130">
        <v>140</v>
      </c>
      <c r="D253" s="130">
        <v>140</v>
      </c>
      <c r="E253" s="131">
        <v>8</v>
      </c>
      <c r="F253" s="130"/>
      <c r="G253" s="130"/>
      <c r="H253" s="132">
        <v>31.433344596654049</v>
      </c>
      <c r="I253" s="133">
        <v>32.033981754551895</v>
      </c>
      <c r="J253" s="133">
        <v>4004.247719318987</v>
      </c>
      <c r="K253" s="133">
        <v>0.5256637061435917</v>
      </c>
      <c r="L253" s="134">
        <v>11267730.321458185</v>
      </c>
      <c r="M253" s="135">
        <v>160967.57602083118</v>
      </c>
      <c r="N253" s="135">
        <v>194175.05263261602</v>
      </c>
      <c r="O253" s="136">
        <v>53.046624481676155</v>
      </c>
      <c r="P253" s="135">
        <v>11267730.321458185</v>
      </c>
      <c r="Q253" s="135">
        <v>160967.57602083118</v>
      </c>
      <c r="R253" s="135">
        <v>194175.05263261602</v>
      </c>
      <c r="S253" s="133">
        <v>53.046624481676155</v>
      </c>
      <c r="T253" s="134">
        <v>19043635.436186999</v>
      </c>
      <c r="U253" s="171"/>
      <c r="V253" s="137">
        <v>1</v>
      </c>
      <c r="W253" s="138">
        <v>1</v>
      </c>
      <c r="X253" s="138">
        <v>1</v>
      </c>
      <c r="Y253" s="138">
        <v>1</v>
      </c>
      <c r="Z253" s="138">
        <v>1</v>
      </c>
      <c r="AA253" s="139">
        <v>1</v>
      </c>
      <c r="AB253" s="138">
        <v>1</v>
      </c>
      <c r="AC253" s="138">
        <v>1</v>
      </c>
      <c r="AD253" s="138">
        <v>1</v>
      </c>
      <c r="AE253" s="138">
        <v>1</v>
      </c>
      <c r="AF253" s="137">
        <v>1</v>
      </c>
      <c r="AG253" s="138">
        <v>1</v>
      </c>
      <c r="AH253" s="138">
        <v>1</v>
      </c>
      <c r="AI253" s="138">
        <v>1</v>
      </c>
      <c r="AJ253" s="138">
        <v>1</v>
      </c>
      <c r="AK253" s="93">
        <f t="shared" si="20"/>
        <v>131.27652008327613</v>
      </c>
      <c r="AM253" s="173"/>
      <c r="AN253" s="174"/>
      <c r="AO253" s="138" t="s">
        <v>49</v>
      </c>
      <c r="AP253" s="138">
        <f t="shared" si="24"/>
        <v>0.49</v>
      </c>
      <c r="AQ253" s="140">
        <f>IF(head!F$82="S235",235,IF(head!F$82="S275",275,IF(head!F$82="S355",355,IF(head!F$82="S420",420,460))))^0.5*head!$G$70*1000/(S253*3.1416*210000^0.5)</f>
        <v>2.4671518879907253</v>
      </c>
      <c r="AR253" s="140">
        <f t="shared" si="21"/>
        <v>4.0988714317658275</v>
      </c>
      <c r="AS253" s="140">
        <f t="shared" si="22"/>
        <v>0.13564688728845783</v>
      </c>
      <c r="AT253" s="141">
        <f>IF(head!F$82="S235",235,IF(head!F$82="S275",275,IF(head!F$82="S355",355,IF(head!F$82="S420",420,460))))*AS253*J253/1000</f>
        <v>192.8231273654221</v>
      </c>
      <c r="AU253" s="199" t="s">
        <v>47</v>
      </c>
      <c r="AV253" s="142" t="s">
        <v>47</v>
      </c>
      <c r="AW253" s="142" t="s">
        <v>47</v>
      </c>
      <c r="AX253" s="143" t="s">
        <v>47</v>
      </c>
      <c r="AY253" s="135" t="s">
        <v>47</v>
      </c>
      <c r="AZ253" s="200">
        <v>0</v>
      </c>
      <c r="BA253" s="144" t="str">
        <f t="shared" si="23"/>
        <v>CF SHS 140 x 10</v>
      </c>
    </row>
    <row r="254" spans="1:53" s="146" customFormat="1">
      <c r="A254" s="128" t="s">
        <v>524</v>
      </c>
      <c r="B254" s="83">
        <f t="shared" si="25"/>
        <v>225.41168281050375</v>
      </c>
      <c r="C254" s="130">
        <v>140</v>
      </c>
      <c r="D254" s="130">
        <v>140</v>
      </c>
      <c r="E254" s="131">
        <v>10</v>
      </c>
      <c r="F254" s="130"/>
      <c r="G254" s="130"/>
      <c r="H254" s="132">
        <v>38.124600932271946</v>
      </c>
      <c r="I254" s="133">
        <v>38.853096491487335</v>
      </c>
      <c r="J254" s="133">
        <v>4856.6370614359175</v>
      </c>
      <c r="K254" s="133">
        <v>0.51707963267948964</v>
      </c>
      <c r="L254" s="134">
        <v>13116725.424962863</v>
      </c>
      <c r="M254" s="135">
        <v>187381.79178518377</v>
      </c>
      <c r="N254" s="135">
        <v>230382.00109794963</v>
      </c>
      <c r="O254" s="136">
        <v>51.969063276873129</v>
      </c>
      <c r="P254" s="135">
        <v>13116725.424962863</v>
      </c>
      <c r="Q254" s="135">
        <v>187381.79178518377</v>
      </c>
      <c r="R254" s="135">
        <v>230382.00109794963</v>
      </c>
      <c r="S254" s="133">
        <v>51.969063276873129</v>
      </c>
      <c r="T254" s="134">
        <v>22778129.326391399</v>
      </c>
      <c r="U254" s="171"/>
      <c r="V254" s="137">
        <v>1</v>
      </c>
      <c r="W254" s="138">
        <v>1</v>
      </c>
      <c r="X254" s="138">
        <v>1</v>
      </c>
      <c r="Y254" s="138">
        <v>1</v>
      </c>
      <c r="Z254" s="138">
        <v>1</v>
      </c>
      <c r="AA254" s="139">
        <v>1</v>
      </c>
      <c r="AB254" s="138">
        <v>1</v>
      </c>
      <c r="AC254" s="138">
        <v>1</v>
      </c>
      <c r="AD254" s="138">
        <v>1</v>
      </c>
      <c r="AE254" s="138">
        <v>1</v>
      </c>
      <c r="AF254" s="137">
        <v>1</v>
      </c>
      <c r="AG254" s="138">
        <v>1</v>
      </c>
      <c r="AH254" s="138">
        <v>1</v>
      </c>
      <c r="AI254" s="138">
        <v>1</v>
      </c>
      <c r="AJ254" s="138">
        <v>1</v>
      </c>
      <c r="AK254" s="93">
        <f t="shared" si="20"/>
        <v>106.46865848497426</v>
      </c>
      <c r="AM254" s="173"/>
      <c r="AN254" s="174"/>
      <c r="AO254" s="138" t="s">
        <v>49</v>
      </c>
      <c r="AP254" s="138">
        <f t="shared" si="24"/>
        <v>0.49</v>
      </c>
      <c r="AQ254" s="140">
        <f>IF(head!F$82="S235",235,IF(head!F$82="S275",275,IF(head!F$82="S355",355,IF(head!F$82="S420",420,460))))^0.5*head!$G$70*1000/(S254*3.1416*210000^0.5)</f>
        <v>2.5183074600411919</v>
      </c>
      <c r="AR254" s="140">
        <f t="shared" si="21"/>
        <v>4.2389215593596514</v>
      </c>
      <c r="AS254" s="140">
        <f t="shared" si="22"/>
        <v>0.13074118546598124</v>
      </c>
      <c r="AT254" s="141">
        <f>IF(head!F$82="S235",235,IF(head!F$82="S275",275,IF(head!F$82="S355",355,IF(head!F$82="S420",420,460))))*AS254*J254/1000</f>
        <v>225.41168281050375</v>
      </c>
      <c r="AU254" s="199" t="s">
        <v>47</v>
      </c>
      <c r="AV254" s="142" t="s">
        <v>47</v>
      </c>
      <c r="AW254" s="142" t="s">
        <v>47</v>
      </c>
      <c r="AX254" s="143" t="s">
        <v>47</v>
      </c>
      <c r="AY254" s="135" t="s">
        <v>47</v>
      </c>
      <c r="AZ254" s="200">
        <v>0</v>
      </c>
      <c r="BA254" s="144" t="str">
        <f t="shared" si="23"/>
        <v>CF SHS 150 x 4</v>
      </c>
    </row>
    <row r="255" spans="1:53" s="146" customFormat="1">
      <c r="A255" s="128" t="s">
        <v>525</v>
      </c>
      <c r="B255" s="83">
        <f t="shared" si="25"/>
        <v>134.80145615738454</v>
      </c>
      <c r="C255" s="130">
        <v>150</v>
      </c>
      <c r="D255" s="130">
        <v>150</v>
      </c>
      <c r="E255" s="131">
        <v>4</v>
      </c>
      <c r="F255" s="130"/>
      <c r="G255" s="130"/>
      <c r="H255" s="132">
        <v>18.01415211187263</v>
      </c>
      <c r="I255" s="133">
        <v>18.358371578978478</v>
      </c>
      <c r="J255" s="133">
        <v>2294.79644737231</v>
      </c>
      <c r="K255" s="133">
        <v>0.5862654824574367</v>
      </c>
      <c r="L255" s="134">
        <v>8078170.5145350769</v>
      </c>
      <c r="M255" s="135">
        <v>107708.94019380103</v>
      </c>
      <c r="N255" s="135">
        <v>124868.6953072781</v>
      </c>
      <c r="O255" s="136">
        <v>59.33137641989925</v>
      </c>
      <c r="P255" s="135">
        <v>8078170.5145350769</v>
      </c>
      <c r="Q255" s="135">
        <v>107708.94019380103</v>
      </c>
      <c r="R255" s="135">
        <v>124868.6953072781</v>
      </c>
      <c r="S255" s="133">
        <v>59.33137641989925</v>
      </c>
      <c r="T255" s="134">
        <v>12669927.340443101</v>
      </c>
      <c r="U255" s="171"/>
      <c r="V255" s="137">
        <v>2</v>
      </c>
      <c r="W255" s="138">
        <v>2</v>
      </c>
      <c r="X255" s="138">
        <v>3</v>
      </c>
      <c r="Y255" s="138">
        <v>4</v>
      </c>
      <c r="Z255" s="138">
        <v>4</v>
      </c>
      <c r="AA255" s="139">
        <v>3</v>
      </c>
      <c r="AB255" s="138">
        <v>4</v>
      </c>
      <c r="AC255" s="138">
        <v>4</v>
      </c>
      <c r="AD255" s="138">
        <v>4</v>
      </c>
      <c r="AE255" s="138">
        <v>4</v>
      </c>
      <c r="AF255" s="137">
        <v>2</v>
      </c>
      <c r="AG255" s="138">
        <v>2</v>
      </c>
      <c r="AH255" s="138">
        <v>3</v>
      </c>
      <c r="AI255" s="138">
        <v>4</v>
      </c>
      <c r="AJ255" s="138">
        <v>4</v>
      </c>
      <c r="AK255" s="93">
        <f t="shared" si="20"/>
        <v>255.47602844197726</v>
      </c>
      <c r="AM255" s="173"/>
      <c r="AN255" s="174"/>
      <c r="AO255" s="138" t="s">
        <v>49</v>
      </c>
      <c r="AP255" s="138">
        <f t="shared" si="24"/>
        <v>0.49</v>
      </c>
      <c r="AQ255" s="140">
        <f>IF(head!F$82="S235",235,IF(head!F$82="S275",275,IF(head!F$82="S355",355,IF(head!F$82="S420",420,460))))^0.5*head!$G$70*1000/(S255*3.1416*210000^0.5)</f>
        <v>2.2058156685137731</v>
      </c>
      <c r="AR255" s="140">
        <f t="shared" si="21"/>
        <v>3.4242362205163062</v>
      </c>
      <c r="AS255" s="140">
        <f t="shared" si="22"/>
        <v>0.16547106482832019</v>
      </c>
      <c r="AT255" s="141">
        <f>IF(head!F$82="S235",235,IF(head!F$82="S275",275,IF(head!F$82="S355",355,IF(head!F$82="S420",420,460))))*AS255*J255/1000</f>
        <v>134.80145615738454</v>
      </c>
      <c r="AU255" s="199" t="s">
        <v>47</v>
      </c>
      <c r="AV255" s="142" t="s">
        <v>47</v>
      </c>
      <c r="AW255" s="142" t="s">
        <v>47</v>
      </c>
      <c r="AX255" s="143" t="s">
        <v>47</v>
      </c>
      <c r="AY255" s="135" t="s">
        <v>47</v>
      </c>
      <c r="AZ255" s="200">
        <v>0</v>
      </c>
      <c r="BA255" s="144" t="str">
        <f t="shared" si="23"/>
        <v>CF SHS 150 x 5</v>
      </c>
    </row>
    <row r="256" spans="1:53" s="146" customFormat="1">
      <c r="A256" s="128" t="s">
        <v>526</v>
      </c>
      <c r="B256" s="83">
        <f t="shared" si="25"/>
        <v>164.20964644555229</v>
      </c>
      <c r="C256" s="130">
        <v>150</v>
      </c>
      <c r="D256" s="130">
        <v>150</v>
      </c>
      <c r="E256" s="131">
        <v>5</v>
      </c>
      <c r="F256" s="130"/>
      <c r="G256" s="130"/>
      <c r="H256" s="132">
        <v>22.259612674800991</v>
      </c>
      <c r="I256" s="133">
        <v>22.684955592153877</v>
      </c>
      <c r="J256" s="133">
        <v>2835.6194490192347</v>
      </c>
      <c r="K256" s="133">
        <v>0.58283185307179586</v>
      </c>
      <c r="L256" s="134">
        <v>9821188.6132214516</v>
      </c>
      <c r="M256" s="135">
        <v>130949.18150961933</v>
      </c>
      <c r="N256" s="135">
        <v>152981.93085291691</v>
      </c>
      <c r="O256" s="136">
        <v>58.851569927264336</v>
      </c>
      <c r="P256" s="135">
        <v>9821188.6132214516</v>
      </c>
      <c r="Q256" s="135">
        <v>130949.18150961933</v>
      </c>
      <c r="R256" s="135">
        <v>152981.93085291691</v>
      </c>
      <c r="S256" s="133">
        <v>58.851569927264336</v>
      </c>
      <c r="T256" s="134">
        <v>15573992.1005415</v>
      </c>
      <c r="U256" s="171"/>
      <c r="V256" s="137">
        <v>1</v>
      </c>
      <c r="W256" s="138">
        <v>1</v>
      </c>
      <c r="X256" s="138">
        <v>1</v>
      </c>
      <c r="Y256" s="138">
        <v>2</v>
      </c>
      <c r="Z256" s="138">
        <v>2</v>
      </c>
      <c r="AA256" s="139">
        <v>1</v>
      </c>
      <c r="AB256" s="138">
        <v>2</v>
      </c>
      <c r="AC256" s="138">
        <v>2</v>
      </c>
      <c r="AD256" s="138">
        <v>3</v>
      </c>
      <c r="AE256" s="138">
        <v>4</v>
      </c>
      <c r="AF256" s="137">
        <v>1</v>
      </c>
      <c r="AG256" s="138">
        <v>1</v>
      </c>
      <c r="AH256" s="138">
        <v>1</v>
      </c>
      <c r="AI256" s="138">
        <v>2</v>
      </c>
      <c r="AJ256" s="138">
        <v>2</v>
      </c>
      <c r="AK256" s="93">
        <f t="shared" si="20"/>
        <v>205.53951739658928</v>
      </c>
      <c r="AM256" s="173"/>
      <c r="AN256" s="174"/>
      <c r="AO256" s="138" t="s">
        <v>49</v>
      </c>
      <c r="AP256" s="138">
        <f t="shared" si="24"/>
        <v>0.49</v>
      </c>
      <c r="AQ256" s="140">
        <f>IF(head!F$82="S235",235,IF(head!F$82="S275",275,IF(head!F$82="S355",355,IF(head!F$82="S420",420,460))))^0.5*head!$G$70*1000/(S256*3.1416*210000^0.5)</f>
        <v>2.2237992954691244</v>
      </c>
      <c r="AR256" s="140">
        <f t="shared" si="21"/>
        <v>3.4684724806544223</v>
      </c>
      <c r="AS256" s="140">
        <f t="shared" si="22"/>
        <v>0.16312569181793998</v>
      </c>
      <c r="AT256" s="141">
        <f>IF(head!F$82="S235",235,IF(head!F$82="S275",275,IF(head!F$82="S355",355,IF(head!F$82="S420",420,460))))*AS256*J256/1000</f>
        <v>164.20964644555229</v>
      </c>
      <c r="AU256" s="199" t="s">
        <v>47</v>
      </c>
      <c r="AV256" s="142" t="s">
        <v>47</v>
      </c>
      <c r="AW256" s="142" t="s">
        <v>47</v>
      </c>
      <c r="AX256" s="143" t="s">
        <v>47</v>
      </c>
      <c r="AY256" s="135" t="s">
        <v>47</v>
      </c>
      <c r="AZ256" s="200">
        <v>0</v>
      </c>
      <c r="BA256" s="144" t="str">
        <f t="shared" si="23"/>
        <v>CF SHS 150 x 6</v>
      </c>
    </row>
    <row r="257" spans="1:53" s="146" customFormat="1">
      <c r="A257" s="128" t="s">
        <v>280</v>
      </c>
      <c r="B257" s="83">
        <f t="shared" si="25"/>
        <v>191.97112616430718</v>
      </c>
      <c r="C257" s="130">
        <v>150</v>
      </c>
      <c r="D257" s="130">
        <v>150</v>
      </c>
      <c r="E257" s="131">
        <v>6</v>
      </c>
      <c r="F257" s="130"/>
      <c r="G257" s="130"/>
      <c r="H257" s="132">
        <v>26.401842251713429</v>
      </c>
      <c r="I257" s="133">
        <v>26.906336052701583</v>
      </c>
      <c r="J257" s="133">
        <v>3363.2920065876979</v>
      </c>
      <c r="K257" s="133">
        <v>0.57939822368615501</v>
      </c>
      <c r="L257" s="134">
        <v>11459054.114443017</v>
      </c>
      <c r="M257" s="135">
        <v>152787.38819257359</v>
      </c>
      <c r="N257" s="135">
        <v>179883.39641502494</v>
      </c>
      <c r="O257" s="136">
        <v>58.370323144189932</v>
      </c>
      <c r="P257" s="135">
        <v>11459054.114443017</v>
      </c>
      <c r="Q257" s="135">
        <v>152787.38819257359</v>
      </c>
      <c r="R257" s="135">
        <v>179883.39641502494</v>
      </c>
      <c r="S257" s="133">
        <v>58.370323144189932</v>
      </c>
      <c r="T257" s="134">
        <v>18370711.7380413</v>
      </c>
      <c r="U257" s="171"/>
      <c r="V257" s="137">
        <v>1</v>
      </c>
      <c r="W257" s="138">
        <v>1</v>
      </c>
      <c r="X257" s="138">
        <v>1</v>
      </c>
      <c r="Y257" s="138">
        <v>1</v>
      </c>
      <c r="Z257" s="138">
        <v>1</v>
      </c>
      <c r="AA257" s="139">
        <v>1</v>
      </c>
      <c r="AB257" s="138">
        <v>1</v>
      </c>
      <c r="AC257" s="138">
        <v>1</v>
      </c>
      <c r="AD257" s="138">
        <v>2</v>
      </c>
      <c r="AE257" s="138">
        <v>2</v>
      </c>
      <c r="AF257" s="137">
        <v>1</v>
      </c>
      <c r="AG257" s="138">
        <v>1</v>
      </c>
      <c r="AH257" s="138">
        <v>1</v>
      </c>
      <c r="AI257" s="138">
        <v>1</v>
      </c>
      <c r="AJ257" s="138">
        <v>1</v>
      </c>
      <c r="AK257" s="93">
        <f t="shared" si="20"/>
        <v>172.27116246560948</v>
      </c>
      <c r="AM257" s="173"/>
      <c r="AN257" s="174"/>
      <c r="AO257" s="138" t="s">
        <v>49</v>
      </c>
      <c r="AP257" s="138">
        <f t="shared" si="24"/>
        <v>0.49</v>
      </c>
      <c r="AQ257" s="140">
        <f>IF(head!F$82="S235",235,IF(head!F$82="S275",275,IF(head!F$82="S355",355,IF(head!F$82="S420",420,460))))^0.5*head!$G$70*1000/(S257*3.1416*210000^0.5)</f>
        <v>2.2421338908508219</v>
      </c>
      <c r="AR257" s="140">
        <f t="shared" si="21"/>
        <v>3.5139049955093742</v>
      </c>
      <c r="AS257" s="140">
        <f t="shared" si="22"/>
        <v>0.16078405758849007</v>
      </c>
      <c r="AT257" s="141">
        <f>IF(head!F$82="S235",235,IF(head!F$82="S275",275,IF(head!F$82="S355",355,IF(head!F$82="S420",420,460))))*AS257*J257/1000</f>
        <v>191.97112616430718</v>
      </c>
      <c r="AU257" s="199" t="s">
        <v>47</v>
      </c>
      <c r="AV257" s="142" t="s">
        <v>47</v>
      </c>
      <c r="AW257" s="142" t="s">
        <v>47</v>
      </c>
      <c r="AX257" s="143" t="s">
        <v>47</v>
      </c>
      <c r="AY257" s="135" t="s">
        <v>47</v>
      </c>
      <c r="AZ257" s="200">
        <v>0</v>
      </c>
      <c r="BA257" s="144" t="str">
        <f t="shared" si="23"/>
        <v>CF SHS 150 x 8</v>
      </c>
    </row>
    <row r="258" spans="1:53" s="146" customFormat="1">
      <c r="A258" s="128" t="s">
        <v>527</v>
      </c>
      <c r="B258" s="83">
        <f t="shared" si="25"/>
        <v>237.70438803033431</v>
      </c>
      <c r="C258" s="130">
        <v>150</v>
      </c>
      <c r="D258" s="130">
        <v>150</v>
      </c>
      <c r="E258" s="131">
        <v>8</v>
      </c>
      <c r="F258" s="130"/>
      <c r="G258" s="130"/>
      <c r="H258" s="132">
        <v>33.945344596654046</v>
      </c>
      <c r="I258" s="133">
        <v>34.593981754551891</v>
      </c>
      <c r="J258" s="133">
        <v>4324.247719318987</v>
      </c>
      <c r="K258" s="133">
        <v>0.56566370614359174</v>
      </c>
      <c r="L258" s="134">
        <v>14118333.707433986</v>
      </c>
      <c r="M258" s="135">
        <v>188244.44943245314</v>
      </c>
      <c r="N258" s="135">
        <v>225956.29122921094</v>
      </c>
      <c r="O258" s="136">
        <v>57.139500414724274</v>
      </c>
      <c r="P258" s="135">
        <v>14118333.707433986</v>
      </c>
      <c r="Q258" s="135">
        <v>188244.44943245314</v>
      </c>
      <c r="R258" s="135">
        <v>225956.29122921094</v>
      </c>
      <c r="S258" s="133">
        <v>57.139500414724274</v>
      </c>
      <c r="T258" s="134">
        <v>23684341.362453103</v>
      </c>
      <c r="U258" s="171"/>
      <c r="V258" s="137">
        <v>1</v>
      </c>
      <c r="W258" s="138">
        <v>1</v>
      </c>
      <c r="X258" s="138">
        <v>1</v>
      </c>
      <c r="Y258" s="138">
        <v>1</v>
      </c>
      <c r="Z258" s="138">
        <v>1</v>
      </c>
      <c r="AA258" s="139">
        <v>1</v>
      </c>
      <c r="AB258" s="138">
        <v>1</v>
      </c>
      <c r="AC258" s="138">
        <v>1</v>
      </c>
      <c r="AD258" s="138">
        <v>1</v>
      </c>
      <c r="AE258" s="138">
        <v>1</v>
      </c>
      <c r="AF258" s="137">
        <v>1</v>
      </c>
      <c r="AG258" s="138">
        <v>1</v>
      </c>
      <c r="AH258" s="138">
        <v>1</v>
      </c>
      <c r="AI258" s="138">
        <v>1</v>
      </c>
      <c r="AJ258" s="138">
        <v>1</v>
      </c>
      <c r="AK258" s="93">
        <f t="shared" si="20"/>
        <v>130.81204936905797</v>
      </c>
      <c r="AM258" s="173"/>
      <c r="AN258" s="174"/>
      <c r="AO258" s="138" t="s">
        <v>49</v>
      </c>
      <c r="AP258" s="138">
        <f t="shared" si="24"/>
        <v>0.49</v>
      </c>
      <c r="AQ258" s="140">
        <f>IF(head!F$82="S235",235,IF(head!F$82="S275",275,IF(head!F$82="S355",355,IF(head!F$82="S420",420,460))))^0.5*head!$G$70*1000/(S258*3.1416*210000^0.5)</f>
        <v>2.2904309416709117</v>
      </c>
      <c r="AR258" s="140">
        <f t="shared" si="21"/>
        <v>3.635192529991123</v>
      </c>
      <c r="AS258" s="140">
        <f t="shared" si="22"/>
        <v>0.15484539020419791</v>
      </c>
      <c r="AT258" s="141">
        <f>IF(head!F$82="S235",235,IF(head!F$82="S275",275,IF(head!F$82="S355",355,IF(head!F$82="S420",420,460))))*AS258*J258/1000</f>
        <v>237.70438803033431</v>
      </c>
      <c r="AU258" s="199" t="s">
        <v>47</v>
      </c>
      <c r="AV258" s="142" t="s">
        <v>47</v>
      </c>
      <c r="AW258" s="142" t="s">
        <v>47</v>
      </c>
      <c r="AX258" s="143" t="s">
        <v>47</v>
      </c>
      <c r="AY258" s="135" t="s">
        <v>47</v>
      </c>
      <c r="AZ258" s="200">
        <v>0</v>
      </c>
      <c r="BA258" s="144" t="str">
        <f t="shared" si="23"/>
        <v>CF SHS 150 x 10</v>
      </c>
    </row>
    <row r="259" spans="1:53" s="146" customFormat="1">
      <c r="A259" s="128" t="s">
        <v>528</v>
      </c>
      <c r="B259" s="83">
        <f t="shared" si="25"/>
        <v>279.42940783764203</v>
      </c>
      <c r="C259" s="130">
        <v>150</v>
      </c>
      <c r="D259" s="130">
        <v>150</v>
      </c>
      <c r="E259" s="131">
        <v>10</v>
      </c>
      <c r="F259" s="130"/>
      <c r="G259" s="130"/>
      <c r="H259" s="132">
        <v>41.264600932271946</v>
      </c>
      <c r="I259" s="133">
        <v>42.053096491487331</v>
      </c>
      <c r="J259" s="133">
        <v>5256.6370614359175</v>
      </c>
      <c r="K259" s="133">
        <v>0.55707963267948968</v>
      </c>
      <c r="L259" s="134">
        <v>16525294.695811598</v>
      </c>
      <c r="M259" s="135">
        <v>220337.26261082132</v>
      </c>
      <c r="N259" s="135">
        <v>269165.18640512921</v>
      </c>
      <c r="O259" s="136">
        <v>56.068715935186269</v>
      </c>
      <c r="P259" s="135">
        <v>16525294.695811598</v>
      </c>
      <c r="Q259" s="135">
        <v>220337.26261082132</v>
      </c>
      <c r="R259" s="135">
        <v>269165.18640512921</v>
      </c>
      <c r="S259" s="133">
        <v>56.068715935186269</v>
      </c>
      <c r="T259" s="134">
        <v>28443333.007883899</v>
      </c>
      <c r="U259" s="171"/>
      <c r="V259" s="137">
        <v>1</v>
      </c>
      <c r="W259" s="138">
        <v>1</v>
      </c>
      <c r="X259" s="138">
        <v>1</v>
      </c>
      <c r="Y259" s="138">
        <v>1</v>
      </c>
      <c r="Z259" s="138">
        <v>1</v>
      </c>
      <c r="AA259" s="139">
        <v>1</v>
      </c>
      <c r="AB259" s="138">
        <v>1</v>
      </c>
      <c r="AC259" s="138">
        <v>1</v>
      </c>
      <c r="AD259" s="138">
        <v>1</v>
      </c>
      <c r="AE259" s="138">
        <v>1</v>
      </c>
      <c r="AF259" s="137">
        <v>1</v>
      </c>
      <c r="AG259" s="138">
        <v>1</v>
      </c>
      <c r="AH259" s="138">
        <v>1</v>
      </c>
      <c r="AI259" s="138">
        <v>1</v>
      </c>
      <c r="AJ259" s="138">
        <v>1</v>
      </c>
      <c r="AK259" s="93">
        <f t="shared" si="20"/>
        <v>105.97643059026721</v>
      </c>
      <c r="AM259" s="173"/>
      <c r="AN259" s="174"/>
      <c r="AO259" s="138" t="s">
        <v>49</v>
      </c>
      <c r="AP259" s="138">
        <f t="shared" si="24"/>
        <v>0.49</v>
      </c>
      <c r="AQ259" s="140">
        <f>IF(head!F$82="S235",235,IF(head!F$82="S275",275,IF(head!F$82="S355",355,IF(head!F$82="S420",420,460))))^0.5*head!$G$70*1000/(S259*3.1416*210000^0.5)</f>
        <v>2.3341729440137136</v>
      </c>
      <c r="AR259" s="140">
        <f t="shared" si="21"/>
        <v>3.7470540375661829</v>
      </c>
      <c r="AS259" s="140">
        <f t="shared" si="22"/>
        <v>0.14973928831323705</v>
      </c>
      <c r="AT259" s="141">
        <f>IF(head!F$82="S235",235,IF(head!F$82="S275",275,IF(head!F$82="S355",355,IF(head!F$82="S420",420,460))))*AS259*J259/1000</f>
        <v>279.42940783764203</v>
      </c>
      <c r="AU259" s="199" t="s">
        <v>47</v>
      </c>
      <c r="AV259" s="142" t="s">
        <v>47</v>
      </c>
      <c r="AW259" s="142" t="s">
        <v>47</v>
      </c>
      <c r="AX259" s="143" t="s">
        <v>47</v>
      </c>
      <c r="AY259" s="135" t="s">
        <v>47</v>
      </c>
      <c r="AZ259" s="200">
        <v>0</v>
      </c>
      <c r="BA259" s="144" t="str">
        <f t="shared" si="23"/>
        <v>CF SHS 150 x 12,5</v>
      </c>
    </row>
    <row r="260" spans="1:53" s="146" customFormat="1">
      <c r="A260" s="128" t="s">
        <v>529</v>
      </c>
      <c r="B260" s="83">
        <f t="shared" si="25"/>
        <v>309.70119729659382</v>
      </c>
      <c r="C260" s="130">
        <v>150</v>
      </c>
      <c r="D260" s="130">
        <v>150</v>
      </c>
      <c r="E260" s="131">
        <v>12.5</v>
      </c>
      <c r="F260" s="130"/>
      <c r="G260" s="130"/>
      <c r="H260" s="132">
        <v>48.704298695843647</v>
      </c>
      <c r="I260" s="133">
        <v>49.634954084936204</v>
      </c>
      <c r="J260" s="133">
        <v>6204.3692606170262</v>
      </c>
      <c r="K260" s="133">
        <v>0.53561944901923453</v>
      </c>
      <c r="L260" s="134">
        <v>18174378.662899777</v>
      </c>
      <c r="M260" s="135">
        <v>242325.04883866373</v>
      </c>
      <c r="N260" s="135">
        <v>305580.51393980515</v>
      </c>
      <c r="O260" s="136">
        <v>54.122888611520928</v>
      </c>
      <c r="P260" s="135">
        <v>18174378.662899777</v>
      </c>
      <c r="Q260" s="135">
        <v>242325.04883866373</v>
      </c>
      <c r="R260" s="135">
        <v>305580.51393980515</v>
      </c>
      <c r="S260" s="133">
        <v>54.122888611520928</v>
      </c>
      <c r="T260" s="134">
        <v>33219526.198019098</v>
      </c>
      <c r="U260" s="171"/>
      <c r="V260" s="137">
        <v>1</v>
      </c>
      <c r="W260" s="138">
        <v>1</v>
      </c>
      <c r="X260" s="138">
        <v>1</v>
      </c>
      <c r="Y260" s="138">
        <v>1</v>
      </c>
      <c r="Z260" s="138">
        <v>1</v>
      </c>
      <c r="AA260" s="139">
        <v>1</v>
      </c>
      <c r="AB260" s="138">
        <v>1</v>
      </c>
      <c r="AC260" s="138">
        <v>1</v>
      </c>
      <c r="AD260" s="138">
        <v>1</v>
      </c>
      <c r="AE260" s="138">
        <v>1</v>
      </c>
      <c r="AF260" s="137">
        <v>1</v>
      </c>
      <c r="AG260" s="138">
        <v>1</v>
      </c>
      <c r="AH260" s="138">
        <v>1</v>
      </c>
      <c r="AI260" s="138">
        <v>1</v>
      </c>
      <c r="AJ260" s="138">
        <v>1</v>
      </c>
      <c r="AK260" s="93">
        <f t="shared" si="20"/>
        <v>86.329395708141178</v>
      </c>
      <c r="AM260" s="173"/>
      <c r="AN260" s="174"/>
      <c r="AO260" s="138" t="s">
        <v>49</v>
      </c>
      <c r="AP260" s="138">
        <f t="shared" si="24"/>
        <v>0.49</v>
      </c>
      <c r="AQ260" s="140">
        <f>IF(head!F$82="S235",235,IF(head!F$82="S275",275,IF(head!F$82="S355",355,IF(head!F$82="S420",420,460))))^0.5*head!$G$70*1000/(S260*3.1416*210000^0.5)</f>
        <v>2.4180911828428111</v>
      </c>
      <c r="AR260" s="140">
        <f t="shared" si="21"/>
        <v>3.9670148240675616</v>
      </c>
      <c r="AS260" s="140">
        <f t="shared" si="22"/>
        <v>0.14061022196104497</v>
      </c>
      <c r="AT260" s="141">
        <f>IF(head!F$82="S235",235,IF(head!F$82="S275",275,IF(head!F$82="S355",355,IF(head!F$82="S420",420,460))))*AS260*J260/1000</f>
        <v>309.70119729659382</v>
      </c>
      <c r="AU260" s="199" t="s">
        <v>47</v>
      </c>
      <c r="AV260" s="142" t="s">
        <v>47</v>
      </c>
      <c r="AW260" s="142" t="s">
        <v>47</v>
      </c>
      <c r="AX260" s="143" t="s">
        <v>47</v>
      </c>
      <c r="AY260" s="135" t="s">
        <v>47</v>
      </c>
      <c r="AZ260" s="200">
        <v>0</v>
      </c>
      <c r="BA260" s="144" t="str">
        <f t="shared" si="23"/>
        <v>CF SHS 160 x 5</v>
      </c>
    </row>
    <row r="261" spans="1:53" s="146" customFormat="1">
      <c r="A261" s="128" t="s">
        <v>530</v>
      </c>
      <c r="B261" s="83">
        <f t="shared" si="25"/>
        <v>197.65429546726631</v>
      </c>
      <c r="C261" s="130">
        <v>160</v>
      </c>
      <c r="D261" s="130">
        <v>160</v>
      </c>
      <c r="E261" s="131">
        <v>5</v>
      </c>
      <c r="F261" s="130"/>
      <c r="G261" s="130"/>
      <c r="H261" s="132">
        <v>23.829612674800991</v>
      </c>
      <c r="I261" s="133">
        <v>24.284955592153874</v>
      </c>
      <c r="J261" s="133">
        <v>3035.6194490192347</v>
      </c>
      <c r="K261" s="133">
        <v>0.62283185307179589</v>
      </c>
      <c r="L261" s="134">
        <v>12023565.074642768</v>
      </c>
      <c r="M261" s="135">
        <v>150294.56343303461</v>
      </c>
      <c r="N261" s="135">
        <v>175160.02809801308</v>
      </c>
      <c r="O261" s="136">
        <v>62.935105678990269</v>
      </c>
      <c r="P261" s="135">
        <v>12023565.074642768</v>
      </c>
      <c r="Q261" s="135">
        <v>150294.56343303461</v>
      </c>
      <c r="R261" s="135">
        <v>175160.02809801308</v>
      </c>
      <c r="S261" s="133">
        <v>62.935105678990269</v>
      </c>
      <c r="T261" s="134">
        <v>19001180.809321299</v>
      </c>
      <c r="U261" s="171"/>
      <c r="V261" s="137">
        <v>1</v>
      </c>
      <c r="W261" s="138">
        <v>1</v>
      </c>
      <c r="X261" s="138">
        <v>2</v>
      </c>
      <c r="Y261" s="138">
        <v>2</v>
      </c>
      <c r="Z261" s="138">
        <v>3</v>
      </c>
      <c r="AA261" s="139">
        <v>1</v>
      </c>
      <c r="AB261" s="138">
        <v>2</v>
      </c>
      <c r="AC261" s="138">
        <v>3</v>
      </c>
      <c r="AD261" s="138">
        <v>4</v>
      </c>
      <c r="AE261" s="138">
        <v>4</v>
      </c>
      <c r="AF261" s="137">
        <v>1</v>
      </c>
      <c r="AG261" s="138">
        <v>1</v>
      </c>
      <c r="AH261" s="138">
        <v>2</v>
      </c>
      <c r="AI261" s="138">
        <v>2</v>
      </c>
      <c r="AJ261" s="138">
        <v>3</v>
      </c>
      <c r="AK261" s="93">
        <f t="shared" ref="AK261:AK291" si="26">K261/J261*1000000</f>
        <v>205.17454955463009</v>
      </c>
      <c r="AM261" s="173"/>
      <c r="AN261" s="174"/>
      <c r="AO261" s="138" t="s">
        <v>49</v>
      </c>
      <c r="AP261" s="138">
        <f t="shared" si="24"/>
        <v>0.49</v>
      </c>
      <c r="AQ261" s="140">
        <f>IF(head!F$82="S235",235,IF(head!F$82="S275",275,IF(head!F$82="S355",355,IF(head!F$82="S420",420,460))))^0.5*head!$G$70*1000/(S261*3.1416*210000^0.5)</f>
        <v>2.0795083813642066</v>
      </c>
      <c r="AR261" s="140">
        <f t="shared" ref="AR261:AR291" si="27">0.5*(1+AP261*(AQ261-0.2)+AQ261^2)</f>
        <v>3.1226571075162219</v>
      </c>
      <c r="AS261" s="140">
        <f t="shared" ref="AS261:AS291" si="28">IF(AQ261&lt;=0.2,1,1/(AR261+(AR261^2-AQ261^2)^0.5))</f>
        <v>0.18341319544120047</v>
      </c>
      <c r="AT261" s="141">
        <f>IF(head!F$82="S235",235,IF(head!F$82="S275",275,IF(head!F$82="S355",355,IF(head!F$82="S420",420,460))))*AS261*J261/1000</f>
        <v>197.65429546726631</v>
      </c>
      <c r="AU261" s="199" t="s">
        <v>47</v>
      </c>
      <c r="AV261" s="142" t="s">
        <v>47</v>
      </c>
      <c r="AW261" s="142" t="s">
        <v>47</v>
      </c>
      <c r="AX261" s="143" t="s">
        <v>47</v>
      </c>
      <c r="AY261" s="135" t="s">
        <v>47</v>
      </c>
      <c r="AZ261" s="200">
        <v>0</v>
      </c>
      <c r="BA261" s="144" t="str">
        <f t="shared" ref="BA261:BA290" si="29">A262</f>
        <v>CF SHS 160 x 6</v>
      </c>
    </row>
    <row r="262" spans="1:53" s="146" customFormat="1">
      <c r="A262" s="128" t="s">
        <v>281</v>
      </c>
      <c r="B262" s="83">
        <f t="shared" si="25"/>
        <v>231.51379950335635</v>
      </c>
      <c r="C262" s="130">
        <v>160</v>
      </c>
      <c r="D262" s="130">
        <v>160</v>
      </c>
      <c r="E262" s="131">
        <v>6</v>
      </c>
      <c r="F262" s="130"/>
      <c r="G262" s="130"/>
      <c r="H262" s="132">
        <v>28.285842251713426</v>
      </c>
      <c r="I262" s="133">
        <v>28.826336052701581</v>
      </c>
      <c r="J262" s="133">
        <v>3603.2920065876979</v>
      </c>
      <c r="K262" s="133">
        <v>0.61939822368615505</v>
      </c>
      <c r="L262" s="134">
        <v>14054810.378757961</v>
      </c>
      <c r="M262" s="135">
        <v>175685.12973447453</v>
      </c>
      <c r="N262" s="135">
        <v>206239.85644796345</v>
      </c>
      <c r="O262" s="136">
        <v>62.454360562631194</v>
      </c>
      <c r="P262" s="135">
        <v>14054810.378757961</v>
      </c>
      <c r="Q262" s="135">
        <v>175685.12973447453</v>
      </c>
      <c r="R262" s="135">
        <v>206239.85644796345</v>
      </c>
      <c r="S262" s="133">
        <v>62.454360562631194</v>
      </c>
      <c r="T262" s="134">
        <v>22440285.556704201</v>
      </c>
      <c r="U262" s="171"/>
      <c r="V262" s="137">
        <v>1</v>
      </c>
      <c r="W262" s="138">
        <v>1</v>
      </c>
      <c r="X262" s="138">
        <v>1</v>
      </c>
      <c r="Y262" s="138">
        <v>1</v>
      </c>
      <c r="Z262" s="138">
        <v>1</v>
      </c>
      <c r="AA262" s="139">
        <v>1</v>
      </c>
      <c r="AB262" s="138">
        <v>1</v>
      </c>
      <c r="AC262" s="138">
        <v>1</v>
      </c>
      <c r="AD262" s="138">
        <v>2</v>
      </c>
      <c r="AE262" s="138">
        <v>2</v>
      </c>
      <c r="AF262" s="137">
        <v>1</v>
      </c>
      <c r="AG262" s="138">
        <v>1</v>
      </c>
      <c r="AH262" s="138">
        <v>1</v>
      </c>
      <c r="AI262" s="138">
        <v>1</v>
      </c>
      <c r="AJ262" s="138">
        <v>1</v>
      </c>
      <c r="AK262" s="93">
        <f t="shared" si="26"/>
        <v>171.89787076754916</v>
      </c>
      <c r="AM262" s="173"/>
      <c r="AN262" s="174"/>
      <c r="AO262" s="138" t="s">
        <v>49</v>
      </c>
      <c r="AP262" s="138">
        <f t="shared" ref="AP262:AP325" si="30">IF(AO262="a0",0.13,IF(AO262="a",0.21,IF(AO262="b",0.34,IF(AO262="c",0.49,0.76))))</f>
        <v>0.49</v>
      </c>
      <c r="AQ262" s="140">
        <f>IF(head!F$82="S235",235,IF(head!F$82="S275",275,IF(head!F$82="S355",355,IF(head!F$82="S420",420,460))))^0.5*head!$G$70*1000/(S262*3.1416*210000^0.5)</f>
        <v>2.0955154862286633</v>
      </c>
      <c r="AR262" s="140">
        <f t="shared" si="27"/>
        <v>3.1599938706380986</v>
      </c>
      <c r="AS262" s="140">
        <f t="shared" si="28"/>
        <v>0.18098770421727858</v>
      </c>
      <c r="AT262" s="141">
        <f>IF(head!F$82="S235",235,IF(head!F$82="S275",275,IF(head!F$82="S355",355,IF(head!F$82="S420",420,460))))*AS262*J262/1000</f>
        <v>231.51379950335635</v>
      </c>
      <c r="AU262" s="199" t="s">
        <v>47</v>
      </c>
      <c r="AV262" s="142" t="s">
        <v>47</v>
      </c>
      <c r="AW262" s="142" t="s">
        <v>47</v>
      </c>
      <c r="AX262" s="143" t="s">
        <v>47</v>
      </c>
      <c r="AY262" s="135" t="s">
        <v>47</v>
      </c>
      <c r="AZ262" s="200">
        <v>0</v>
      </c>
      <c r="BA262" s="144" t="str">
        <f t="shared" si="29"/>
        <v>CF SHS 160 x 8</v>
      </c>
    </row>
    <row r="263" spans="1:53" s="146" customFormat="1">
      <c r="A263" s="128" t="s">
        <v>531</v>
      </c>
      <c r="B263" s="83">
        <f t="shared" si="25"/>
        <v>288.29088984654572</v>
      </c>
      <c r="C263" s="130">
        <v>160</v>
      </c>
      <c r="D263" s="130">
        <v>160</v>
      </c>
      <c r="E263" s="131">
        <v>8</v>
      </c>
      <c r="F263" s="130"/>
      <c r="G263" s="130"/>
      <c r="H263" s="132">
        <v>36.457344596654046</v>
      </c>
      <c r="I263" s="133">
        <v>37.153981754551893</v>
      </c>
      <c r="J263" s="133">
        <v>4644.247719318987</v>
      </c>
      <c r="K263" s="133">
        <v>0.60566370614359177</v>
      </c>
      <c r="L263" s="134">
        <v>17412349.479375739</v>
      </c>
      <c r="M263" s="135">
        <v>217654.36849219675</v>
      </c>
      <c r="N263" s="135">
        <v>260137.52982580586</v>
      </c>
      <c r="O263" s="136">
        <v>61.230950249748815</v>
      </c>
      <c r="P263" s="135">
        <v>17412349.479375739</v>
      </c>
      <c r="Q263" s="135">
        <v>217654.36849219675</v>
      </c>
      <c r="R263" s="135">
        <v>260137.52982580586</v>
      </c>
      <c r="S263" s="133">
        <v>61.230950249748815</v>
      </c>
      <c r="T263" s="134">
        <v>29018425.221413799</v>
      </c>
      <c r="U263" s="171"/>
      <c r="V263" s="137">
        <v>1</v>
      </c>
      <c r="W263" s="138">
        <v>1</v>
      </c>
      <c r="X263" s="138">
        <v>1</v>
      </c>
      <c r="Y263" s="138">
        <v>1</v>
      </c>
      <c r="Z263" s="138">
        <v>1</v>
      </c>
      <c r="AA263" s="139">
        <v>1</v>
      </c>
      <c r="AB263" s="138">
        <v>1</v>
      </c>
      <c r="AC263" s="138">
        <v>1</v>
      </c>
      <c r="AD263" s="138">
        <v>1</v>
      </c>
      <c r="AE263" s="138">
        <v>1</v>
      </c>
      <c r="AF263" s="137">
        <v>1</v>
      </c>
      <c r="AG263" s="138">
        <v>1</v>
      </c>
      <c r="AH263" s="138">
        <v>1</v>
      </c>
      <c r="AI263" s="138">
        <v>1</v>
      </c>
      <c r="AJ263" s="138">
        <v>1</v>
      </c>
      <c r="AK263" s="93">
        <f t="shared" si="26"/>
        <v>130.41158498591108</v>
      </c>
      <c r="AM263" s="173"/>
      <c r="AN263" s="174"/>
      <c r="AO263" s="138" t="s">
        <v>49</v>
      </c>
      <c r="AP263" s="138">
        <f t="shared" si="30"/>
        <v>0.49</v>
      </c>
      <c r="AQ263" s="140">
        <f>IF(head!F$82="S235",235,IF(head!F$82="S275",275,IF(head!F$82="S355",355,IF(head!F$82="S420",420,460))))^0.5*head!$G$70*1000/(S263*3.1416*210000^0.5)</f>
        <v>2.1373844307118071</v>
      </c>
      <c r="AR263" s="140">
        <f t="shared" si="27"/>
        <v>3.2588652878490105</v>
      </c>
      <c r="AS263" s="140">
        <f t="shared" si="28"/>
        <v>0.17485867738582264</v>
      </c>
      <c r="AT263" s="141">
        <f>IF(head!F$82="S235",235,IF(head!F$82="S275",275,IF(head!F$82="S355",355,IF(head!F$82="S420",420,460))))*AS263*J263/1000</f>
        <v>288.29088984654572</v>
      </c>
      <c r="AU263" s="199" t="s">
        <v>47</v>
      </c>
      <c r="AV263" s="142" t="s">
        <v>47</v>
      </c>
      <c r="AW263" s="142" t="s">
        <v>47</v>
      </c>
      <c r="AX263" s="143" t="s">
        <v>47</v>
      </c>
      <c r="AY263" s="135" t="s">
        <v>47</v>
      </c>
      <c r="AZ263" s="200">
        <v>0</v>
      </c>
      <c r="BA263" s="144" t="str">
        <f t="shared" si="29"/>
        <v>CF SHS 160 x 10</v>
      </c>
    </row>
    <row r="264" spans="1:53" s="146" customFormat="1">
      <c r="A264" s="128" t="s">
        <v>532</v>
      </c>
      <c r="B264" s="83">
        <f t="shared" si="25"/>
        <v>340.52597958412349</v>
      </c>
      <c r="C264" s="130">
        <v>160</v>
      </c>
      <c r="D264" s="130">
        <v>160</v>
      </c>
      <c r="E264" s="131">
        <v>10</v>
      </c>
      <c r="F264" s="130"/>
      <c r="G264" s="130"/>
      <c r="H264" s="132">
        <v>44.404600932271947</v>
      </c>
      <c r="I264" s="133">
        <v>45.253096491487334</v>
      </c>
      <c r="J264" s="133">
        <v>5656.6370614359175</v>
      </c>
      <c r="K264" s="133">
        <v>0.59707963267948971</v>
      </c>
      <c r="L264" s="134">
        <v>20476695.819732118</v>
      </c>
      <c r="M264" s="135">
        <v>255958.69774665148</v>
      </c>
      <c r="N264" s="135">
        <v>310948.37171230878</v>
      </c>
      <c r="O264" s="136">
        <v>60.165950510841618</v>
      </c>
      <c r="P264" s="135">
        <v>20476695.819732118</v>
      </c>
      <c r="Q264" s="135">
        <v>255958.69774665148</v>
      </c>
      <c r="R264" s="135">
        <v>310948.37171230878</v>
      </c>
      <c r="S264" s="133">
        <v>60.165950510841618</v>
      </c>
      <c r="T264" s="134">
        <v>34966981.635136403</v>
      </c>
      <c r="U264" s="171"/>
      <c r="V264" s="137">
        <v>1</v>
      </c>
      <c r="W264" s="138">
        <v>1</v>
      </c>
      <c r="X264" s="138">
        <v>1</v>
      </c>
      <c r="Y264" s="138">
        <v>1</v>
      </c>
      <c r="Z264" s="138">
        <v>1</v>
      </c>
      <c r="AA264" s="139">
        <v>1</v>
      </c>
      <c r="AB264" s="138">
        <v>1</v>
      </c>
      <c r="AC264" s="138">
        <v>1</v>
      </c>
      <c r="AD264" s="138">
        <v>1</v>
      </c>
      <c r="AE264" s="138">
        <v>1</v>
      </c>
      <c r="AF264" s="137">
        <v>1</v>
      </c>
      <c r="AG264" s="138">
        <v>1</v>
      </c>
      <c r="AH264" s="138">
        <v>1</v>
      </c>
      <c r="AI264" s="138">
        <v>1</v>
      </c>
      <c r="AJ264" s="138">
        <v>1</v>
      </c>
      <c r="AK264" s="93">
        <f t="shared" si="26"/>
        <v>105.55381690476058</v>
      </c>
      <c r="AM264" s="173"/>
      <c r="AN264" s="174"/>
      <c r="AO264" s="138" t="s">
        <v>49</v>
      </c>
      <c r="AP264" s="138">
        <f t="shared" si="30"/>
        <v>0.49</v>
      </c>
      <c r="AQ264" s="140">
        <f>IF(head!F$82="S235",235,IF(head!F$82="S275",275,IF(head!F$82="S355",355,IF(head!F$82="S420",420,460))))^0.5*head!$G$70*1000/(S264*3.1416*210000^0.5)</f>
        <v>2.1752183524121249</v>
      </c>
      <c r="AR264" s="140">
        <f t="shared" si="27"/>
        <v>3.3497159366762301</v>
      </c>
      <c r="AS264" s="140">
        <f t="shared" si="28"/>
        <v>0.16957568624016978</v>
      </c>
      <c r="AT264" s="141">
        <f>IF(head!F$82="S235",235,IF(head!F$82="S275",275,IF(head!F$82="S355",355,IF(head!F$82="S420",420,460))))*AS264*J264/1000</f>
        <v>340.52597958412349</v>
      </c>
      <c r="AU264" s="199" t="s">
        <v>47</v>
      </c>
      <c r="AV264" s="142" t="s">
        <v>47</v>
      </c>
      <c r="AW264" s="142" t="s">
        <v>47</v>
      </c>
      <c r="AX264" s="143" t="s">
        <v>47</v>
      </c>
      <c r="AY264" s="135" t="s">
        <v>47</v>
      </c>
      <c r="AZ264" s="200">
        <v>0</v>
      </c>
      <c r="BA264" s="144" t="str">
        <f t="shared" si="29"/>
        <v>CF SHS 180 x 6</v>
      </c>
    </row>
    <row r="265" spans="1:53" s="146" customFormat="1">
      <c r="A265" s="128" t="s">
        <v>282</v>
      </c>
      <c r="B265" s="83">
        <f t="shared" si="25"/>
        <v>323.76429902878942</v>
      </c>
      <c r="C265" s="130">
        <v>180</v>
      </c>
      <c r="D265" s="130">
        <v>180</v>
      </c>
      <c r="E265" s="131">
        <v>6</v>
      </c>
      <c r="F265" s="130"/>
      <c r="G265" s="130"/>
      <c r="H265" s="132">
        <v>32.053842251713426</v>
      </c>
      <c r="I265" s="133">
        <v>32.666336052701581</v>
      </c>
      <c r="J265" s="133">
        <v>4083.2920065876979</v>
      </c>
      <c r="K265" s="133">
        <v>0.69939822368615501</v>
      </c>
      <c r="L265" s="134">
        <v>20365216.708376002</v>
      </c>
      <c r="M265" s="135">
        <v>226280.18564862225</v>
      </c>
      <c r="N265" s="135">
        <v>264352.77651384042</v>
      </c>
      <c r="O265" s="136">
        <v>70.621883912717209</v>
      </c>
      <c r="P265" s="135">
        <v>20365216.708376002</v>
      </c>
      <c r="Q265" s="135">
        <v>226280.18564862225</v>
      </c>
      <c r="R265" s="135">
        <v>264352.77651384042</v>
      </c>
      <c r="S265" s="133">
        <v>70.621883912717209</v>
      </c>
      <c r="T265" s="134">
        <v>32294237.481024198</v>
      </c>
      <c r="U265" s="171"/>
      <c r="V265" s="137">
        <v>1</v>
      </c>
      <c r="W265" s="138">
        <v>1</v>
      </c>
      <c r="X265" s="138">
        <v>1</v>
      </c>
      <c r="Y265" s="138">
        <v>2</v>
      </c>
      <c r="Z265" s="138">
        <v>2</v>
      </c>
      <c r="AA265" s="139">
        <v>1</v>
      </c>
      <c r="AB265" s="138">
        <v>2</v>
      </c>
      <c r="AC265" s="138">
        <v>2</v>
      </c>
      <c r="AD265" s="138">
        <v>3</v>
      </c>
      <c r="AE265" s="138">
        <v>4</v>
      </c>
      <c r="AF265" s="137">
        <v>1</v>
      </c>
      <c r="AG265" s="138">
        <v>1</v>
      </c>
      <c r="AH265" s="138">
        <v>1</v>
      </c>
      <c r="AI265" s="138">
        <v>2</v>
      </c>
      <c r="AJ265" s="138">
        <v>2</v>
      </c>
      <c r="AK265" s="93">
        <f t="shared" si="26"/>
        <v>171.28293116382437</v>
      </c>
      <c r="AM265" s="173"/>
      <c r="AN265" s="174"/>
      <c r="AO265" s="138" t="s">
        <v>49</v>
      </c>
      <c r="AP265" s="138">
        <f t="shared" si="30"/>
        <v>0.49</v>
      </c>
      <c r="AQ265" s="140">
        <f>IF(head!F$82="S235",235,IF(head!F$82="S275",275,IF(head!F$82="S355",355,IF(head!F$82="S420",420,460))))^0.5*head!$G$70*1000/(S265*3.1416*210000^0.5)</f>
        <v>1.8531660795576037</v>
      </c>
      <c r="AR265" s="140">
        <f t="shared" si="27"/>
        <v>2.6221379487030623</v>
      </c>
      <c r="AS265" s="140">
        <f t="shared" si="28"/>
        <v>0.22335216498572119</v>
      </c>
      <c r="AT265" s="141">
        <f>IF(head!F$82="S235",235,IF(head!F$82="S275",275,IF(head!F$82="S355",355,IF(head!F$82="S420",420,460))))*AS265*J265/1000</f>
        <v>323.76429902878942</v>
      </c>
      <c r="AU265" s="199" t="s">
        <v>47</v>
      </c>
      <c r="AV265" s="142" t="s">
        <v>47</v>
      </c>
      <c r="AW265" s="142" t="s">
        <v>47</v>
      </c>
      <c r="AX265" s="143" t="s">
        <v>47</v>
      </c>
      <c r="AY265" s="135" t="s">
        <v>47</v>
      </c>
      <c r="AZ265" s="200">
        <v>0</v>
      </c>
      <c r="BA265" s="144" t="str">
        <f t="shared" si="29"/>
        <v>CF SHS 180 x 8</v>
      </c>
    </row>
    <row r="266" spans="1:53" s="146" customFormat="1">
      <c r="A266" s="128" t="s">
        <v>533</v>
      </c>
      <c r="B266" s="83">
        <f t="shared" si="25"/>
        <v>406.93728755856972</v>
      </c>
      <c r="C266" s="130">
        <v>180</v>
      </c>
      <c r="D266" s="130">
        <v>180</v>
      </c>
      <c r="E266" s="131">
        <v>8</v>
      </c>
      <c r="F266" s="130"/>
      <c r="G266" s="130"/>
      <c r="H266" s="132">
        <v>41.481344596654047</v>
      </c>
      <c r="I266" s="133">
        <v>42.273981754551897</v>
      </c>
      <c r="J266" s="133">
        <v>5284.247719318987</v>
      </c>
      <c r="K266" s="133">
        <v>0.68566370614359173</v>
      </c>
      <c r="L266" s="134">
        <v>25458618.181157082</v>
      </c>
      <c r="M266" s="135">
        <v>282873.5353461898</v>
      </c>
      <c r="N266" s="135">
        <v>335700.00701899576</v>
      </c>
      <c r="O266" s="136">
        <v>69.410604953906173</v>
      </c>
      <c r="P266" s="135">
        <v>25458618.181157082</v>
      </c>
      <c r="Q266" s="135">
        <v>282873.5353461898</v>
      </c>
      <c r="R266" s="135">
        <v>335700.00701899576</v>
      </c>
      <c r="S266" s="133">
        <v>69.410604953906173</v>
      </c>
      <c r="T266" s="134">
        <v>41958719.282458797</v>
      </c>
      <c r="U266" s="171"/>
      <c r="V266" s="137">
        <v>1</v>
      </c>
      <c r="W266" s="138">
        <v>1</v>
      </c>
      <c r="X266" s="138">
        <v>1</v>
      </c>
      <c r="Y266" s="138">
        <v>1</v>
      </c>
      <c r="Z266" s="138">
        <v>1</v>
      </c>
      <c r="AA266" s="139">
        <v>1</v>
      </c>
      <c r="AB266" s="138">
        <v>1</v>
      </c>
      <c r="AC266" s="138">
        <v>1</v>
      </c>
      <c r="AD266" s="138">
        <v>1</v>
      </c>
      <c r="AE266" s="138">
        <v>1</v>
      </c>
      <c r="AF266" s="137">
        <v>1</v>
      </c>
      <c r="AG266" s="138">
        <v>1</v>
      </c>
      <c r="AH266" s="138">
        <v>1</v>
      </c>
      <c r="AI266" s="138">
        <v>1</v>
      </c>
      <c r="AJ266" s="138">
        <v>1</v>
      </c>
      <c r="AK266" s="93">
        <f t="shared" si="26"/>
        <v>129.75616257293052</v>
      </c>
      <c r="AM266" s="173"/>
      <c r="AN266" s="174"/>
      <c r="AO266" s="138" t="s">
        <v>49</v>
      </c>
      <c r="AP266" s="138">
        <f t="shared" si="30"/>
        <v>0.49</v>
      </c>
      <c r="AQ266" s="140">
        <f>IF(head!F$82="S235",235,IF(head!F$82="S275",275,IF(head!F$82="S355",355,IF(head!F$82="S420",420,460))))^0.5*head!$G$70*1000/(S266*3.1416*210000^0.5)</f>
        <v>1.8855055337496698</v>
      </c>
      <c r="AR266" s="140">
        <f t="shared" si="27"/>
        <v>2.690514414668983</v>
      </c>
      <c r="AS266" s="140">
        <f t="shared" si="28"/>
        <v>0.21692817584686874</v>
      </c>
      <c r="AT266" s="141">
        <f>IF(head!F$82="S235",235,IF(head!F$82="S275",275,IF(head!F$82="S355",355,IF(head!F$82="S420",420,460))))*AS266*J266/1000</f>
        <v>406.93728755856972</v>
      </c>
      <c r="AU266" s="199" t="s">
        <v>47</v>
      </c>
      <c r="AV266" s="142" t="s">
        <v>47</v>
      </c>
      <c r="AW266" s="142" t="s">
        <v>47</v>
      </c>
      <c r="AX266" s="143" t="s">
        <v>47</v>
      </c>
      <c r="AY266" s="135" t="s">
        <v>47</v>
      </c>
      <c r="AZ266" s="200">
        <v>0</v>
      </c>
      <c r="BA266" s="144" t="str">
        <f t="shared" si="29"/>
        <v>CF SHS 180 x 10</v>
      </c>
    </row>
    <row r="267" spans="1:53" s="146" customFormat="1">
      <c r="A267" s="128" t="s">
        <v>534</v>
      </c>
      <c r="B267" s="83">
        <f t="shared" si="25"/>
        <v>484.47326089113335</v>
      </c>
      <c r="C267" s="130">
        <v>180</v>
      </c>
      <c r="D267" s="130">
        <v>180</v>
      </c>
      <c r="E267" s="131">
        <v>10</v>
      </c>
      <c r="F267" s="130"/>
      <c r="G267" s="130"/>
      <c r="H267" s="132">
        <v>50.684600932271948</v>
      </c>
      <c r="I267" s="133">
        <v>51.653096491487332</v>
      </c>
      <c r="J267" s="133">
        <v>6456.6370614359175</v>
      </c>
      <c r="K267" s="133">
        <v>0.67707963267948967</v>
      </c>
      <c r="L267" s="134">
        <v>30167993.626788542</v>
      </c>
      <c r="M267" s="135">
        <v>335199.92918653938</v>
      </c>
      <c r="N267" s="135">
        <v>403514.742326668</v>
      </c>
      <c r="O267" s="136">
        <v>68.354958897865387</v>
      </c>
      <c r="P267" s="135">
        <v>30167993.626788542</v>
      </c>
      <c r="Q267" s="135">
        <v>335199.92918653938</v>
      </c>
      <c r="R267" s="135">
        <v>403514.742326668</v>
      </c>
      <c r="S267" s="133">
        <v>68.354958897865387</v>
      </c>
      <c r="T267" s="134">
        <v>50829548.881998301</v>
      </c>
      <c r="U267" s="171"/>
      <c r="V267" s="137">
        <v>1</v>
      </c>
      <c r="W267" s="138">
        <v>1</v>
      </c>
      <c r="X267" s="138">
        <v>1</v>
      </c>
      <c r="Y267" s="138">
        <v>1</v>
      </c>
      <c r="Z267" s="138">
        <v>1</v>
      </c>
      <c r="AA267" s="139">
        <v>1</v>
      </c>
      <c r="AB267" s="138">
        <v>1</v>
      </c>
      <c r="AC267" s="138">
        <v>1</v>
      </c>
      <c r="AD267" s="138">
        <v>1</v>
      </c>
      <c r="AE267" s="138">
        <v>1</v>
      </c>
      <c r="AF267" s="137">
        <v>1</v>
      </c>
      <c r="AG267" s="138">
        <v>1</v>
      </c>
      <c r="AH267" s="138">
        <v>1</v>
      </c>
      <c r="AI267" s="138">
        <v>1</v>
      </c>
      <c r="AJ267" s="138">
        <v>1</v>
      </c>
      <c r="AK267" s="93">
        <f t="shared" si="26"/>
        <v>104.86567949181136</v>
      </c>
      <c r="AM267" s="173"/>
      <c r="AN267" s="174"/>
      <c r="AO267" s="138" t="s">
        <v>49</v>
      </c>
      <c r="AP267" s="138">
        <f t="shared" si="30"/>
        <v>0.49</v>
      </c>
      <c r="AQ267" s="140">
        <f>IF(head!F$82="S235",235,IF(head!F$82="S275",275,IF(head!F$82="S355",355,IF(head!F$82="S420",420,460))))^0.5*head!$G$70*1000/(S267*3.1416*210000^0.5)</f>
        <v>1.9146245108134992</v>
      </c>
      <c r="AR267" s="140">
        <f t="shared" si="27"/>
        <v>2.752976513853223</v>
      </c>
      <c r="AS267" s="140">
        <f t="shared" si="28"/>
        <v>0.2113659786008531</v>
      </c>
      <c r="AT267" s="141">
        <f>IF(head!F$82="S235",235,IF(head!F$82="S275",275,IF(head!F$82="S355",355,IF(head!F$82="S420",420,460))))*AS267*J267/1000</f>
        <v>484.47326089113335</v>
      </c>
      <c r="AU267" s="199" t="s">
        <v>47</v>
      </c>
      <c r="AV267" s="142" t="s">
        <v>47</v>
      </c>
      <c r="AW267" s="142" t="s">
        <v>47</v>
      </c>
      <c r="AX267" s="143" t="s">
        <v>47</v>
      </c>
      <c r="AY267" s="135" t="s">
        <v>47</v>
      </c>
      <c r="AZ267" s="200">
        <v>0</v>
      </c>
      <c r="BA267" s="144" t="str">
        <f t="shared" si="29"/>
        <v>CF SHS 180 x 12,5</v>
      </c>
    </row>
    <row r="268" spans="1:53" s="146" customFormat="1">
      <c r="A268" s="128" t="s">
        <v>535</v>
      </c>
      <c r="B268" s="83">
        <f t="shared" si="25"/>
        <v>551.51822195722127</v>
      </c>
      <c r="C268" s="130">
        <v>180</v>
      </c>
      <c r="D268" s="130">
        <v>180</v>
      </c>
      <c r="E268" s="131">
        <v>12.5</v>
      </c>
      <c r="F268" s="130"/>
      <c r="G268" s="130"/>
      <c r="H268" s="132">
        <v>60.479298695843646</v>
      </c>
      <c r="I268" s="133">
        <v>61.634954084936197</v>
      </c>
      <c r="J268" s="133">
        <v>7704.3692606170262</v>
      </c>
      <c r="K268" s="133">
        <v>0.65561944901923452</v>
      </c>
      <c r="L268" s="134">
        <v>34064339.664732762</v>
      </c>
      <c r="M268" s="135">
        <v>378492.66294147517</v>
      </c>
      <c r="N268" s="135">
        <v>467083.55284906056</v>
      </c>
      <c r="O268" s="136">
        <v>66.493844338600226</v>
      </c>
      <c r="P268" s="135">
        <v>34064339.664732762</v>
      </c>
      <c r="Q268" s="135">
        <v>378492.66294147517</v>
      </c>
      <c r="R268" s="135">
        <v>467083.55284906056</v>
      </c>
      <c r="S268" s="133">
        <v>66.493844338600226</v>
      </c>
      <c r="T268" s="134">
        <v>60553921.833224207</v>
      </c>
      <c r="U268" s="171"/>
      <c r="V268" s="137">
        <v>1</v>
      </c>
      <c r="W268" s="138">
        <v>1</v>
      </c>
      <c r="X268" s="138">
        <v>1</v>
      </c>
      <c r="Y268" s="138">
        <v>1</v>
      </c>
      <c r="Z268" s="138">
        <v>1</v>
      </c>
      <c r="AA268" s="139">
        <v>1</v>
      </c>
      <c r="AB268" s="138">
        <v>1</v>
      </c>
      <c r="AC268" s="138">
        <v>1</v>
      </c>
      <c r="AD268" s="138">
        <v>1</v>
      </c>
      <c r="AE268" s="138">
        <v>1</v>
      </c>
      <c r="AF268" s="137">
        <v>1</v>
      </c>
      <c r="AG268" s="138">
        <v>1</v>
      </c>
      <c r="AH268" s="138">
        <v>1</v>
      </c>
      <c r="AI268" s="138">
        <v>1</v>
      </c>
      <c r="AJ268" s="138">
        <v>1</v>
      </c>
      <c r="AK268" s="93">
        <f t="shared" si="26"/>
        <v>85.097095796097321</v>
      </c>
      <c r="AM268" s="173"/>
      <c r="AN268" s="174"/>
      <c r="AO268" s="138" t="s">
        <v>49</v>
      </c>
      <c r="AP268" s="138">
        <f t="shared" si="30"/>
        <v>0.49</v>
      </c>
      <c r="AQ268" s="140">
        <f>IF(head!F$82="S235",235,IF(head!F$82="S275",275,IF(head!F$82="S355",355,IF(head!F$82="S420",420,460))))^0.5*head!$G$70*1000/(S268*3.1416*210000^0.5)</f>
        <v>1.9682134646188425</v>
      </c>
      <c r="AR268" s="140">
        <f t="shared" si="27"/>
        <v>2.8701444199850705</v>
      </c>
      <c r="AS268" s="140">
        <f t="shared" si="28"/>
        <v>0.20164823409477942</v>
      </c>
      <c r="AT268" s="141">
        <f>IF(head!F$82="S235",235,IF(head!F$82="S275",275,IF(head!F$82="S355",355,IF(head!F$82="S420",420,460))))*AS268*J268/1000</f>
        <v>551.51822195722127</v>
      </c>
      <c r="AU268" s="199" t="s">
        <v>47</v>
      </c>
      <c r="AV268" s="142" t="s">
        <v>47</v>
      </c>
      <c r="AW268" s="142" t="s">
        <v>47</v>
      </c>
      <c r="AX268" s="143" t="s">
        <v>47</v>
      </c>
      <c r="AY268" s="135" t="s">
        <v>47</v>
      </c>
      <c r="AZ268" s="200">
        <v>0</v>
      </c>
      <c r="BA268" s="144" t="str">
        <f t="shared" si="29"/>
        <v>CF SHS 200 x 5</v>
      </c>
    </row>
    <row r="269" spans="1:53" s="146" customFormat="1">
      <c r="A269" s="128" t="s">
        <v>536</v>
      </c>
      <c r="B269" s="83">
        <f t="shared" si="25"/>
        <v>367.9904350777968</v>
      </c>
      <c r="C269" s="130">
        <v>200</v>
      </c>
      <c r="D269" s="130">
        <v>200</v>
      </c>
      <c r="E269" s="131">
        <v>5</v>
      </c>
      <c r="F269" s="130"/>
      <c r="G269" s="130"/>
      <c r="H269" s="132">
        <v>30.109612674800992</v>
      </c>
      <c r="I269" s="133">
        <v>30.684955592153877</v>
      </c>
      <c r="J269" s="133">
        <v>3835.6194490192347</v>
      </c>
      <c r="K269" s="133">
        <v>0.78283185307179592</v>
      </c>
      <c r="L269" s="134">
        <v>24100880.644837648</v>
      </c>
      <c r="M269" s="135">
        <v>241008.80644837648</v>
      </c>
      <c r="N269" s="135">
        <v>278872.41707839776</v>
      </c>
      <c r="O269" s="136">
        <v>79.268145874551365</v>
      </c>
      <c r="P269" s="135">
        <v>24100880.644837648</v>
      </c>
      <c r="Q269" s="135">
        <v>241008.80644837648</v>
      </c>
      <c r="R269" s="135">
        <v>278872.41707839776</v>
      </c>
      <c r="S269" s="133">
        <v>79.268145874551365</v>
      </c>
      <c r="T269" s="134">
        <v>37696007.780361302</v>
      </c>
      <c r="U269" s="171"/>
      <c r="V269" s="137">
        <v>2</v>
      </c>
      <c r="W269" s="138">
        <v>3</v>
      </c>
      <c r="X269" s="138">
        <v>4</v>
      </c>
      <c r="Y269" s="138">
        <v>4</v>
      </c>
      <c r="Z269" s="138">
        <v>4</v>
      </c>
      <c r="AA269" s="139">
        <v>4</v>
      </c>
      <c r="AB269" s="138">
        <v>4</v>
      </c>
      <c r="AC269" s="138">
        <v>4</v>
      </c>
      <c r="AD269" s="138">
        <v>4</v>
      </c>
      <c r="AE269" s="138">
        <v>4</v>
      </c>
      <c r="AF269" s="137">
        <v>2</v>
      </c>
      <c r="AG269" s="138">
        <v>3</v>
      </c>
      <c r="AH269" s="138">
        <v>4</v>
      </c>
      <c r="AI269" s="138">
        <v>4</v>
      </c>
      <c r="AJ269" s="138">
        <v>4</v>
      </c>
      <c r="AK269" s="93">
        <f t="shared" si="26"/>
        <v>204.09528720894497</v>
      </c>
      <c r="AM269" s="173"/>
      <c r="AN269" s="174"/>
      <c r="AO269" s="138" t="s">
        <v>49</v>
      </c>
      <c r="AP269" s="138">
        <f t="shared" si="30"/>
        <v>0.49</v>
      </c>
      <c r="AQ269" s="140">
        <f>IF(head!F$82="S235",235,IF(head!F$82="S275",275,IF(head!F$82="S355",355,IF(head!F$82="S420",420,460))))^0.5*head!$G$70*1000/(S269*3.1416*210000^0.5)</f>
        <v>1.6510299099038068</v>
      </c>
      <c r="AR269" s="140">
        <f t="shared" si="27"/>
        <v>2.2184522096249188</v>
      </c>
      <c r="AS269" s="140">
        <f t="shared" si="28"/>
        <v>0.27025433274724098</v>
      </c>
      <c r="AT269" s="141">
        <f>IF(head!F$82="S235",235,IF(head!F$82="S275",275,IF(head!F$82="S355",355,IF(head!F$82="S420",420,460))))*AS269*J269/1000</f>
        <v>367.9904350777968</v>
      </c>
      <c r="AU269" s="199" t="s">
        <v>47</v>
      </c>
      <c r="AV269" s="142" t="s">
        <v>47</v>
      </c>
      <c r="AW269" s="142" t="s">
        <v>47</v>
      </c>
      <c r="AX269" s="143" t="s">
        <v>47</v>
      </c>
      <c r="AY269" s="135" t="s">
        <v>47</v>
      </c>
      <c r="AZ269" s="200">
        <v>0</v>
      </c>
      <c r="BA269" s="144" t="str">
        <f t="shared" si="29"/>
        <v>CF SHS 200 x 6</v>
      </c>
    </row>
    <row r="270" spans="1:53" s="146" customFormat="1">
      <c r="A270" s="128" t="s">
        <v>283</v>
      </c>
      <c r="B270" s="83">
        <f t="shared" si="25"/>
        <v>433.53005313366344</v>
      </c>
      <c r="C270" s="130">
        <v>200</v>
      </c>
      <c r="D270" s="130">
        <v>200</v>
      </c>
      <c r="E270" s="131">
        <v>6</v>
      </c>
      <c r="F270" s="130"/>
      <c r="G270" s="130"/>
      <c r="H270" s="132">
        <v>35.82184225171342</v>
      </c>
      <c r="I270" s="133">
        <v>36.506336052701577</v>
      </c>
      <c r="J270" s="133">
        <v>4563.2920065876979</v>
      </c>
      <c r="K270" s="133">
        <v>0.77939822368615497</v>
      </c>
      <c r="L270" s="134">
        <v>28327481.439311579</v>
      </c>
      <c r="M270" s="135">
        <v>283274.81439311575</v>
      </c>
      <c r="N270" s="135">
        <v>329665.69657971739</v>
      </c>
      <c r="O270" s="136">
        <v>78.788866345835913</v>
      </c>
      <c r="P270" s="135">
        <v>28327481.439311579</v>
      </c>
      <c r="Q270" s="135">
        <v>283274.81439311575</v>
      </c>
      <c r="R270" s="135">
        <v>329665.69657971739</v>
      </c>
      <c r="S270" s="133">
        <v>78.788866345835913</v>
      </c>
      <c r="T270" s="134">
        <v>44674585.617235698</v>
      </c>
      <c r="U270" s="171"/>
      <c r="V270" s="137">
        <v>1</v>
      </c>
      <c r="W270" s="138">
        <v>1</v>
      </c>
      <c r="X270" s="138">
        <v>2</v>
      </c>
      <c r="Y270" s="138">
        <v>3</v>
      </c>
      <c r="Z270" s="138">
        <v>3</v>
      </c>
      <c r="AA270" s="139">
        <v>2</v>
      </c>
      <c r="AB270" s="138">
        <v>2</v>
      </c>
      <c r="AC270" s="138">
        <v>4</v>
      </c>
      <c r="AD270" s="138">
        <v>4</v>
      </c>
      <c r="AE270" s="138">
        <v>4</v>
      </c>
      <c r="AF270" s="137">
        <v>1</v>
      </c>
      <c r="AG270" s="138">
        <v>1</v>
      </c>
      <c r="AH270" s="138">
        <v>2</v>
      </c>
      <c r="AI270" s="138">
        <v>3</v>
      </c>
      <c r="AJ270" s="138">
        <v>3</v>
      </c>
      <c r="AK270" s="93">
        <f t="shared" si="26"/>
        <v>170.79735913480741</v>
      </c>
      <c r="AM270" s="173"/>
      <c r="AN270" s="174"/>
      <c r="AO270" s="138" t="s">
        <v>49</v>
      </c>
      <c r="AP270" s="138">
        <f t="shared" si="30"/>
        <v>0.49</v>
      </c>
      <c r="AQ270" s="140">
        <f>IF(head!F$82="S235",235,IF(head!F$82="S275",275,IF(head!F$82="S355",355,IF(head!F$82="S420",420,460))))^0.5*head!$G$70*1000/(S270*3.1416*210000^0.5)</f>
        <v>1.6610732684874987</v>
      </c>
      <c r="AR270" s="140">
        <f t="shared" si="27"/>
        <v>2.2375451524213084</v>
      </c>
      <c r="AS270" s="140">
        <f t="shared" si="28"/>
        <v>0.2676163207427773</v>
      </c>
      <c r="AT270" s="141">
        <f>IF(head!F$82="S235",235,IF(head!F$82="S275",275,IF(head!F$82="S355",355,IF(head!F$82="S420",420,460))))*AS270*J270/1000</f>
        <v>433.53005313366344</v>
      </c>
      <c r="AU270" s="199" t="s">
        <v>47</v>
      </c>
      <c r="AV270" s="142" t="s">
        <v>47</v>
      </c>
      <c r="AW270" s="142" t="s">
        <v>47</v>
      </c>
      <c r="AX270" s="143" t="s">
        <v>47</v>
      </c>
      <c r="AY270" s="135" t="s">
        <v>47</v>
      </c>
      <c r="AZ270" s="200">
        <v>0</v>
      </c>
      <c r="BA270" s="144" t="str">
        <f t="shared" si="29"/>
        <v>CF SHS 200 x 8</v>
      </c>
    </row>
    <row r="271" spans="1:53" s="146" customFormat="1">
      <c r="A271" s="128" t="s">
        <v>537</v>
      </c>
      <c r="B271" s="83">
        <f t="shared" si="25"/>
        <v>548.94794932042362</v>
      </c>
      <c r="C271" s="130">
        <v>200</v>
      </c>
      <c r="D271" s="130">
        <v>200</v>
      </c>
      <c r="E271" s="131">
        <v>8</v>
      </c>
      <c r="F271" s="130"/>
      <c r="G271" s="130"/>
      <c r="H271" s="132">
        <v>46.505344596654048</v>
      </c>
      <c r="I271" s="133">
        <v>47.393981754551895</v>
      </c>
      <c r="J271" s="133">
        <v>5924.247719318987</v>
      </c>
      <c r="K271" s="133">
        <v>0.7656637061435918</v>
      </c>
      <c r="L271" s="134">
        <v>35662536.426802233</v>
      </c>
      <c r="M271" s="135">
        <v>356625.36426802236</v>
      </c>
      <c r="N271" s="135">
        <v>420862.48421218561</v>
      </c>
      <c r="O271" s="136">
        <v>77.587098164383903</v>
      </c>
      <c r="P271" s="135">
        <v>35662536.426802233</v>
      </c>
      <c r="Q271" s="135">
        <v>356625.36426802236</v>
      </c>
      <c r="R271" s="135">
        <v>420862.48421218561</v>
      </c>
      <c r="S271" s="133">
        <v>77.587098164383903</v>
      </c>
      <c r="T271" s="134">
        <v>58248486.336154602</v>
      </c>
      <c r="U271" s="171"/>
      <c r="V271" s="137">
        <v>1</v>
      </c>
      <c r="W271" s="138">
        <v>1</v>
      </c>
      <c r="X271" s="138">
        <v>1</v>
      </c>
      <c r="Y271" s="138">
        <v>1</v>
      </c>
      <c r="Z271" s="138">
        <v>1</v>
      </c>
      <c r="AA271" s="139">
        <v>1</v>
      </c>
      <c r="AB271" s="138">
        <v>1</v>
      </c>
      <c r="AC271" s="138">
        <v>1</v>
      </c>
      <c r="AD271" s="138">
        <v>1</v>
      </c>
      <c r="AE271" s="138">
        <v>1</v>
      </c>
      <c r="AF271" s="137">
        <v>1</v>
      </c>
      <c r="AG271" s="138">
        <v>1</v>
      </c>
      <c r="AH271" s="138">
        <v>1</v>
      </c>
      <c r="AI271" s="138">
        <v>1</v>
      </c>
      <c r="AJ271" s="138">
        <v>1</v>
      </c>
      <c r="AK271" s="93">
        <f t="shared" si="26"/>
        <v>129.24235150511353</v>
      </c>
      <c r="AM271" s="173"/>
      <c r="AN271" s="174"/>
      <c r="AO271" s="138" t="s">
        <v>49</v>
      </c>
      <c r="AP271" s="138">
        <f t="shared" si="30"/>
        <v>0.49</v>
      </c>
      <c r="AQ271" s="140">
        <f>IF(head!F$82="S235",235,IF(head!F$82="S275",275,IF(head!F$82="S355",355,IF(head!F$82="S420",420,460))))^0.5*head!$G$70*1000/(S271*3.1416*210000^0.5)</f>
        <v>1.6868020951656066</v>
      </c>
      <c r="AR271" s="140">
        <f t="shared" si="27"/>
        <v>2.2869171674431135</v>
      </c>
      <c r="AS271" s="140">
        <f t="shared" si="28"/>
        <v>0.26101748692314702</v>
      </c>
      <c r="AT271" s="141">
        <f>IF(head!F$82="S235",235,IF(head!F$82="S275",275,IF(head!F$82="S355",355,IF(head!F$82="S420",420,460))))*AS271*J271/1000</f>
        <v>548.94794932042362</v>
      </c>
      <c r="AU271" s="199" t="s">
        <v>47</v>
      </c>
      <c r="AV271" s="142" t="s">
        <v>47</v>
      </c>
      <c r="AW271" s="142" t="s">
        <v>47</v>
      </c>
      <c r="AX271" s="143" t="s">
        <v>47</v>
      </c>
      <c r="AY271" s="135" t="s">
        <v>47</v>
      </c>
      <c r="AZ271" s="200">
        <v>0</v>
      </c>
      <c r="BA271" s="144" t="str">
        <f t="shared" si="29"/>
        <v>CF SHS 200 x 10</v>
      </c>
    </row>
    <row r="272" spans="1:53" s="146" customFormat="1">
      <c r="A272" s="128" t="s">
        <v>538</v>
      </c>
      <c r="B272" s="83">
        <f t="shared" si="25"/>
        <v>657.63093852651639</v>
      </c>
      <c r="C272" s="130">
        <v>200</v>
      </c>
      <c r="D272" s="130">
        <v>200</v>
      </c>
      <c r="E272" s="131">
        <v>10</v>
      </c>
      <c r="F272" s="130"/>
      <c r="G272" s="130"/>
      <c r="H272" s="132">
        <v>56.964600932271949</v>
      </c>
      <c r="I272" s="133">
        <v>58.053096491487338</v>
      </c>
      <c r="J272" s="133">
        <v>7256.6370614359175</v>
      </c>
      <c r="K272" s="133">
        <v>0.75707963267948974</v>
      </c>
      <c r="L272" s="134">
        <v>42510618.846132167</v>
      </c>
      <c r="M272" s="135">
        <v>425106.18846132164</v>
      </c>
      <c r="N272" s="135">
        <v>508081.11294102715</v>
      </c>
      <c r="O272" s="136">
        <v>76.538687812186012</v>
      </c>
      <c r="P272" s="135">
        <v>42510618.846132167</v>
      </c>
      <c r="Q272" s="135">
        <v>425106.18846132164</v>
      </c>
      <c r="R272" s="135">
        <v>508081.11294102715</v>
      </c>
      <c r="S272" s="133">
        <v>76.538687812186012</v>
      </c>
      <c r="T272" s="134">
        <v>70845763.8992327</v>
      </c>
      <c r="U272" s="171"/>
      <c r="V272" s="137">
        <v>1</v>
      </c>
      <c r="W272" s="138">
        <v>1</v>
      </c>
      <c r="X272" s="138">
        <v>1</v>
      </c>
      <c r="Y272" s="138">
        <v>1</v>
      </c>
      <c r="Z272" s="138">
        <v>1</v>
      </c>
      <c r="AA272" s="139">
        <v>1</v>
      </c>
      <c r="AB272" s="138">
        <v>1</v>
      </c>
      <c r="AC272" s="138">
        <v>1</v>
      </c>
      <c r="AD272" s="138">
        <v>1</v>
      </c>
      <c r="AE272" s="138">
        <v>1</v>
      </c>
      <c r="AF272" s="137">
        <v>1</v>
      </c>
      <c r="AG272" s="138">
        <v>1</v>
      </c>
      <c r="AH272" s="138">
        <v>1</v>
      </c>
      <c r="AI272" s="138">
        <v>1</v>
      </c>
      <c r="AJ272" s="138">
        <v>1</v>
      </c>
      <c r="AK272" s="93">
        <f t="shared" si="26"/>
        <v>104.32926798872886</v>
      </c>
      <c r="AM272" s="173"/>
      <c r="AN272" s="174"/>
      <c r="AO272" s="138" t="s">
        <v>49</v>
      </c>
      <c r="AP272" s="138">
        <f t="shared" si="30"/>
        <v>0.49</v>
      </c>
      <c r="AQ272" s="140">
        <f>IF(head!F$82="S235",235,IF(head!F$82="S275",275,IF(head!F$82="S355",355,IF(head!F$82="S420",420,460))))^0.5*head!$G$70*1000/(S272*3.1416*210000^0.5)</f>
        <v>1.7099075445694458</v>
      </c>
      <c r="AR272" s="140">
        <f t="shared" si="27"/>
        <v>2.3318192539072697</v>
      </c>
      <c r="AS272" s="140">
        <f t="shared" si="28"/>
        <v>0.25528099328830706</v>
      </c>
      <c r="AT272" s="141">
        <f>IF(head!F$82="S235",235,IF(head!F$82="S275",275,IF(head!F$82="S355",355,IF(head!F$82="S420",420,460))))*AS272*J272/1000</f>
        <v>657.63093852651639</v>
      </c>
      <c r="AU272" s="199" t="s">
        <v>47</v>
      </c>
      <c r="AV272" s="142" t="s">
        <v>47</v>
      </c>
      <c r="AW272" s="142" t="s">
        <v>47</v>
      </c>
      <c r="AX272" s="143" t="s">
        <v>47</v>
      </c>
      <c r="AY272" s="135" t="s">
        <v>47</v>
      </c>
      <c r="AZ272" s="200">
        <v>0</v>
      </c>
      <c r="BA272" s="144" t="str">
        <f t="shared" si="29"/>
        <v>CF SHS 200 x 12,5</v>
      </c>
    </row>
    <row r="273" spans="1:53" s="146" customFormat="1">
      <c r="A273" s="128" t="s">
        <v>539</v>
      </c>
      <c r="B273" s="83">
        <f t="shared" si="25"/>
        <v>758.19911764235314</v>
      </c>
      <c r="C273" s="130">
        <v>200</v>
      </c>
      <c r="D273" s="130">
        <v>200</v>
      </c>
      <c r="E273" s="131">
        <v>12.5</v>
      </c>
      <c r="F273" s="130"/>
      <c r="G273" s="130"/>
      <c r="H273" s="132">
        <v>68.329298695843647</v>
      </c>
      <c r="I273" s="133">
        <v>69.634954084936197</v>
      </c>
      <c r="J273" s="133">
        <v>8704.3692606170262</v>
      </c>
      <c r="K273" s="133">
        <v>0.73561944901923448</v>
      </c>
      <c r="L273" s="134">
        <v>48594155.981109008</v>
      </c>
      <c r="M273" s="135">
        <v>485941.55981109</v>
      </c>
      <c r="N273" s="135">
        <v>593502.24545523082</v>
      </c>
      <c r="O273" s="136">
        <v>74.717678263658229</v>
      </c>
      <c r="P273" s="135">
        <v>48594155.981109008</v>
      </c>
      <c r="Q273" s="135">
        <v>485941.55981109</v>
      </c>
      <c r="R273" s="135">
        <v>593502.24545523082</v>
      </c>
      <c r="S273" s="133">
        <v>74.717678263658229</v>
      </c>
      <c r="T273" s="134">
        <v>85110212.169072896</v>
      </c>
      <c r="U273" s="171"/>
      <c r="V273" s="137">
        <v>1</v>
      </c>
      <c r="W273" s="138">
        <v>1</v>
      </c>
      <c r="X273" s="138">
        <v>1</v>
      </c>
      <c r="Y273" s="138">
        <v>1</v>
      </c>
      <c r="Z273" s="138">
        <v>1</v>
      </c>
      <c r="AA273" s="139">
        <v>1</v>
      </c>
      <c r="AB273" s="138">
        <v>1</v>
      </c>
      <c r="AC273" s="138">
        <v>1</v>
      </c>
      <c r="AD273" s="138">
        <v>1</v>
      </c>
      <c r="AE273" s="138">
        <v>1</v>
      </c>
      <c r="AF273" s="137">
        <v>1</v>
      </c>
      <c r="AG273" s="138">
        <v>1</v>
      </c>
      <c r="AH273" s="138">
        <v>1</v>
      </c>
      <c r="AI273" s="138">
        <v>1</v>
      </c>
      <c r="AJ273" s="138">
        <v>1</v>
      </c>
      <c r="AK273" s="93">
        <f t="shared" si="26"/>
        <v>84.511516801975461</v>
      </c>
      <c r="AM273" s="173"/>
      <c r="AN273" s="174"/>
      <c r="AO273" s="138" t="s">
        <v>49</v>
      </c>
      <c r="AP273" s="138">
        <f t="shared" si="30"/>
        <v>0.49</v>
      </c>
      <c r="AQ273" s="140">
        <f>IF(head!F$82="S235",235,IF(head!F$82="S275",275,IF(head!F$82="S355",355,IF(head!F$82="S420",420,460))))^0.5*head!$G$70*1000/(S273*3.1416*210000^0.5)</f>
        <v>1.7515811891221187</v>
      </c>
      <c r="AR273" s="140">
        <f t="shared" si="27"/>
        <v>2.4141557223781467</v>
      </c>
      <c r="AS273" s="140">
        <f t="shared" si="28"/>
        <v>0.24536782602228752</v>
      </c>
      <c r="AT273" s="141">
        <f>IF(head!F$82="S235",235,IF(head!F$82="S275",275,IF(head!F$82="S355",355,IF(head!F$82="S420",420,460))))*AS273*J273/1000</f>
        <v>758.19911764235314</v>
      </c>
      <c r="AU273" s="199" t="s">
        <v>47</v>
      </c>
      <c r="AV273" s="142" t="s">
        <v>47</v>
      </c>
      <c r="AW273" s="142" t="s">
        <v>47</v>
      </c>
      <c r="AX273" s="143" t="s">
        <v>47</v>
      </c>
      <c r="AY273" s="135" t="s">
        <v>47</v>
      </c>
      <c r="AZ273" s="200">
        <v>0</v>
      </c>
      <c r="BA273" s="144" t="str">
        <f t="shared" si="29"/>
        <v>CF SHS 220 x 6</v>
      </c>
    </row>
    <row r="274" spans="1:53" s="146" customFormat="1">
      <c r="A274" s="128" t="s">
        <v>284</v>
      </c>
      <c r="B274" s="83">
        <f t="shared" si="25"/>
        <v>560.20204483641726</v>
      </c>
      <c r="C274" s="130">
        <v>220</v>
      </c>
      <c r="D274" s="130">
        <v>220</v>
      </c>
      <c r="E274" s="131">
        <v>6</v>
      </c>
      <c r="F274" s="130"/>
      <c r="G274" s="130"/>
      <c r="H274" s="132">
        <v>39.589842251713421</v>
      </c>
      <c r="I274" s="133">
        <v>40.346336052701574</v>
      </c>
      <c r="J274" s="133">
        <v>5043.2920065876979</v>
      </c>
      <c r="K274" s="133">
        <v>0.85939822368615504</v>
      </c>
      <c r="L274" s="134">
        <v>38133604.571564697</v>
      </c>
      <c r="M274" s="135">
        <v>346669.13246876991</v>
      </c>
      <c r="N274" s="135">
        <v>402178.61664559436</v>
      </c>
      <c r="O274" s="136">
        <v>86.955463055673022</v>
      </c>
      <c r="P274" s="135">
        <v>38133604.571564697</v>
      </c>
      <c r="Q274" s="135">
        <v>346669.13246876991</v>
      </c>
      <c r="R274" s="135">
        <v>402178.61664559436</v>
      </c>
      <c r="S274" s="133">
        <v>86.955463055673022</v>
      </c>
      <c r="T274" s="134">
        <v>59869304.526826702</v>
      </c>
      <c r="U274" s="171"/>
      <c r="V274" s="137">
        <v>1</v>
      </c>
      <c r="W274" s="138">
        <v>2</v>
      </c>
      <c r="X274" s="138">
        <v>3</v>
      </c>
      <c r="Y274" s="138">
        <v>4</v>
      </c>
      <c r="Z274" s="138">
        <v>4</v>
      </c>
      <c r="AA274" s="139">
        <v>3</v>
      </c>
      <c r="AB274" s="138">
        <v>3</v>
      </c>
      <c r="AC274" s="138">
        <v>4</v>
      </c>
      <c r="AD274" s="138">
        <v>4</v>
      </c>
      <c r="AE274" s="138">
        <v>4</v>
      </c>
      <c r="AF274" s="137">
        <v>1</v>
      </c>
      <c r="AG274" s="138">
        <v>2</v>
      </c>
      <c r="AH274" s="138">
        <v>3</v>
      </c>
      <c r="AI274" s="138">
        <v>4</v>
      </c>
      <c r="AJ274" s="138">
        <v>4</v>
      </c>
      <c r="AK274" s="93">
        <f t="shared" si="26"/>
        <v>170.40421664333206</v>
      </c>
      <c r="AM274" s="173"/>
      <c r="AN274" s="174"/>
      <c r="AO274" s="138" t="s">
        <v>49</v>
      </c>
      <c r="AP274" s="138">
        <f t="shared" si="30"/>
        <v>0.49</v>
      </c>
      <c r="AQ274" s="140">
        <f>IF(head!F$82="S235",235,IF(head!F$82="S275",275,IF(head!F$82="S355",355,IF(head!F$82="S420",420,460))))^0.5*head!$G$70*1000/(S274*3.1416*210000^0.5)</f>
        <v>1.505070241046391</v>
      </c>
      <c r="AR274" s="140">
        <f t="shared" si="27"/>
        <v>1.9523604242980865</v>
      </c>
      <c r="AS274" s="140">
        <f t="shared" si="28"/>
        <v>0.31289759289277591</v>
      </c>
      <c r="AT274" s="141">
        <f>IF(head!F$82="S235",235,IF(head!F$82="S275",275,IF(head!F$82="S355",355,IF(head!F$82="S420",420,460))))*AS274*J274/1000</f>
        <v>560.20204483641726</v>
      </c>
      <c r="AU274" s="199" t="s">
        <v>47</v>
      </c>
      <c r="AV274" s="142" t="s">
        <v>47</v>
      </c>
      <c r="AW274" s="142" t="s">
        <v>47</v>
      </c>
      <c r="AX274" s="143" t="s">
        <v>47</v>
      </c>
      <c r="AY274" s="135" t="s">
        <v>47</v>
      </c>
      <c r="AZ274" s="200">
        <v>0</v>
      </c>
      <c r="BA274" s="144" t="str">
        <f t="shared" si="29"/>
        <v>CF SHS 220 x 8</v>
      </c>
    </row>
    <row r="275" spans="1:53" s="146" customFormat="1">
      <c r="A275" s="128" t="s">
        <v>540</v>
      </c>
      <c r="B275" s="83">
        <f t="shared" si="25"/>
        <v>713.65080528076521</v>
      </c>
      <c r="C275" s="130">
        <v>220</v>
      </c>
      <c r="D275" s="130">
        <v>220</v>
      </c>
      <c r="E275" s="131">
        <v>8</v>
      </c>
      <c r="F275" s="130"/>
      <c r="G275" s="130"/>
      <c r="H275" s="132">
        <v>51.529344596654049</v>
      </c>
      <c r="I275" s="133">
        <v>52.513981754551899</v>
      </c>
      <c r="J275" s="133">
        <v>6564.247719318987</v>
      </c>
      <c r="K275" s="133">
        <v>0.84566370614359176</v>
      </c>
      <c r="L275" s="134">
        <v>48280104.216311187</v>
      </c>
      <c r="M275" s="135">
        <v>438910.03833010164</v>
      </c>
      <c r="N275" s="135">
        <v>515624.96140537551</v>
      </c>
      <c r="O275" s="136">
        <v>85.761351912006475</v>
      </c>
      <c r="P275" s="135">
        <v>48280104.216311187</v>
      </c>
      <c r="Q275" s="135">
        <v>438910.03833010164</v>
      </c>
      <c r="R275" s="135">
        <v>515624.96140537551</v>
      </c>
      <c r="S275" s="133">
        <v>85.761351912006475</v>
      </c>
      <c r="T275" s="134">
        <v>78271729.485345095</v>
      </c>
      <c r="U275" s="171"/>
      <c r="V275" s="137">
        <v>1</v>
      </c>
      <c r="W275" s="138">
        <v>1</v>
      </c>
      <c r="X275" s="138">
        <v>1</v>
      </c>
      <c r="Y275" s="138">
        <v>1</v>
      </c>
      <c r="Z275" s="138">
        <v>1</v>
      </c>
      <c r="AA275" s="139">
        <v>1</v>
      </c>
      <c r="AB275" s="138">
        <v>1</v>
      </c>
      <c r="AC275" s="138">
        <v>1</v>
      </c>
      <c r="AD275" s="138">
        <v>2</v>
      </c>
      <c r="AE275" s="138">
        <v>2</v>
      </c>
      <c r="AF275" s="137">
        <v>1</v>
      </c>
      <c r="AG275" s="138">
        <v>1</v>
      </c>
      <c r="AH275" s="138">
        <v>1</v>
      </c>
      <c r="AI275" s="138">
        <v>1</v>
      </c>
      <c r="AJ275" s="138">
        <v>1</v>
      </c>
      <c r="AK275" s="93">
        <f t="shared" si="26"/>
        <v>128.82873137994946</v>
      </c>
      <c r="AM275" s="173"/>
      <c r="AN275" s="174"/>
      <c r="AO275" s="138" t="s">
        <v>49</v>
      </c>
      <c r="AP275" s="138">
        <f t="shared" si="30"/>
        <v>0.49</v>
      </c>
      <c r="AQ275" s="140">
        <f>IF(head!F$82="S235",235,IF(head!F$82="S275",275,IF(head!F$82="S355",355,IF(head!F$82="S420",420,460))))^0.5*head!$G$70*1000/(S275*3.1416*210000^0.5)</f>
        <v>1.5260263139949424</v>
      </c>
      <c r="AR275" s="140">
        <f t="shared" si="27"/>
        <v>1.9892546024312561</v>
      </c>
      <c r="AS275" s="140">
        <f t="shared" si="28"/>
        <v>0.30624742460906473</v>
      </c>
      <c r="AT275" s="141">
        <f>IF(head!F$82="S235",235,IF(head!F$82="S275",275,IF(head!F$82="S355",355,IF(head!F$82="S420",420,460))))*AS275*J275/1000</f>
        <v>713.65080528076521</v>
      </c>
      <c r="AU275" s="199" t="s">
        <v>47</v>
      </c>
      <c r="AV275" s="142" t="s">
        <v>47</v>
      </c>
      <c r="AW275" s="142" t="s">
        <v>47</v>
      </c>
      <c r="AX275" s="143" t="s">
        <v>47</v>
      </c>
      <c r="AY275" s="135" t="s">
        <v>47</v>
      </c>
      <c r="AZ275" s="200">
        <v>0</v>
      </c>
      <c r="BA275" s="144" t="str">
        <f t="shared" si="29"/>
        <v>CF SHS 220 x 10</v>
      </c>
    </row>
    <row r="276" spans="1:53" s="146" customFormat="1">
      <c r="A276" s="128" t="s">
        <v>541</v>
      </c>
      <c r="B276" s="83">
        <f t="shared" si="25"/>
        <v>859.30516263800416</v>
      </c>
      <c r="C276" s="130">
        <v>220</v>
      </c>
      <c r="D276" s="130">
        <v>220</v>
      </c>
      <c r="E276" s="131">
        <v>10</v>
      </c>
      <c r="F276" s="130"/>
      <c r="G276" s="130"/>
      <c r="H276" s="132">
        <v>63.24460093227195</v>
      </c>
      <c r="I276" s="133">
        <v>64.453096491487344</v>
      </c>
      <c r="J276" s="133">
        <v>8056.6370614359175</v>
      </c>
      <c r="K276" s="133">
        <v>0.8370796326794897</v>
      </c>
      <c r="L276" s="134">
        <v>57824571.477762982</v>
      </c>
      <c r="M276" s="135">
        <v>525677.92252511799</v>
      </c>
      <c r="N276" s="135">
        <v>624647.48355538631</v>
      </c>
      <c r="O276" s="136">
        <v>84.718705589798873</v>
      </c>
      <c r="P276" s="135">
        <v>57824571.477762982</v>
      </c>
      <c r="Q276" s="135">
        <v>525677.92252511799</v>
      </c>
      <c r="R276" s="135">
        <v>624647.48355538631</v>
      </c>
      <c r="S276" s="133">
        <v>84.718705589798873</v>
      </c>
      <c r="T276" s="134">
        <v>95495577.213084504</v>
      </c>
      <c r="U276" s="171"/>
      <c r="V276" s="137">
        <v>1</v>
      </c>
      <c r="W276" s="138">
        <v>1</v>
      </c>
      <c r="X276" s="138">
        <v>1</v>
      </c>
      <c r="Y276" s="138">
        <v>1</v>
      </c>
      <c r="Z276" s="138">
        <v>1</v>
      </c>
      <c r="AA276" s="139">
        <v>1</v>
      </c>
      <c r="AB276" s="138">
        <v>1</v>
      </c>
      <c r="AC276" s="138">
        <v>1</v>
      </c>
      <c r="AD276" s="138">
        <v>1</v>
      </c>
      <c r="AE276" s="138">
        <v>1</v>
      </c>
      <c r="AF276" s="137">
        <v>1</v>
      </c>
      <c r="AG276" s="138">
        <v>1</v>
      </c>
      <c r="AH276" s="138">
        <v>1</v>
      </c>
      <c r="AI276" s="138">
        <v>1</v>
      </c>
      <c r="AJ276" s="138">
        <v>1</v>
      </c>
      <c r="AK276" s="93">
        <f t="shared" si="26"/>
        <v>103.8993846062986</v>
      </c>
      <c r="AM276" s="173"/>
      <c r="AN276" s="174"/>
      <c r="AO276" s="138" t="s">
        <v>49</v>
      </c>
      <c r="AP276" s="138">
        <f t="shared" si="30"/>
        <v>0.49</v>
      </c>
      <c r="AQ276" s="140">
        <f>IF(head!F$82="S235",235,IF(head!F$82="S275",275,IF(head!F$82="S355",355,IF(head!F$82="S420",420,460))))^0.5*head!$G$70*1000/(S276*3.1416*210000^0.5)</f>
        <v>1.5448073578364625</v>
      </c>
      <c r="AR276" s="140">
        <f t="shared" si="27"/>
        <v>2.0226926890827697</v>
      </c>
      <c r="AS276" s="140">
        <f t="shared" si="28"/>
        <v>0.30044519871825293</v>
      </c>
      <c r="AT276" s="141">
        <f>IF(head!F$82="S235",235,IF(head!F$82="S275",275,IF(head!F$82="S355",355,IF(head!F$82="S420",420,460))))*AS276*J276/1000</f>
        <v>859.30516263800416</v>
      </c>
      <c r="AU276" s="199" t="s">
        <v>47</v>
      </c>
      <c r="AV276" s="142" t="s">
        <v>47</v>
      </c>
      <c r="AW276" s="142" t="s">
        <v>47</v>
      </c>
      <c r="AX276" s="143" t="s">
        <v>47</v>
      </c>
      <c r="AY276" s="135" t="s">
        <v>47</v>
      </c>
      <c r="AZ276" s="200">
        <v>0</v>
      </c>
      <c r="BA276" s="144" t="str">
        <f t="shared" si="29"/>
        <v>CF SHS 250 x 6</v>
      </c>
    </row>
    <row r="277" spans="1:53" s="146" customFormat="1">
      <c r="A277" s="128" t="s">
        <v>285</v>
      </c>
      <c r="B277" s="83">
        <f t="shared" si="25"/>
        <v>779.10109086688021</v>
      </c>
      <c r="C277" s="130">
        <v>250</v>
      </c>
      <c r="D277" s="130">
        <v>250</v>
      </c>
      <c r="E277" s="131">
        <v>6</v>
      </c>
      <c r="F277" s="130"/>
      <c r="G277" s="130"/>
      <c r="H277" s="132">
        <v>45.241842251713422</v>
      </c>
      <c r="I277" s="133">
        <v>46.106336052701579</v>
      </c>
      <c r="J277" s="133">
        <v>5763.2920065876979</v>
      </c>
      <c r="K277" s="133">
        <v>0.97939822368615503</v>
      </c>
      <c r="L277" s="134">
        <v>56720023.772414722</v>
      </c>
      <c r="M277" s="135">
        <v>453760.19017931784</v>
      </c>
      <c r="N277" s="135">
        <v>524447.99674440979</v>
      </c>
      <c r="O277" s="136">
        <v>99.204846602550404</v>
      </c>
      <c r="P277" s="135">
        <v>56720023.772414722</v>
      </c>
      <c r="Q277" s="135">
        <v>453760.19017931784</v>
      </c>
      <c r="R277" s="135">
        <v>524447.99674440979</v>
      </c>
      <c r="S277" s="133">
        <v>99.204846602550404</v>
      </c>
      <c r="T277" s="134">
        <v>88568396.630667597</v>
      </c>
      <c r="U277" s="171"/>
      <c r="V277" s="137">
        <v>2</v>
      </c>
      <c r="W277" s="138">
        <v>3</v>
      </c>
      <c r="X277" s="138">
        <v>4</v>
      </c>
      <c r="Y277" s="138">
        <v>4</v>
      </c>
      <c r="Z277" s="138">
        <v>4</v>
      </c>
      <c r="AA277" s="139">
        <v>4</v>
      </c>
      <c r="AB277" s="138">
        <v>4</v>
      </c>
      <c r="AC277" s="138">
        <v>4</v>
      </c>
      <c r="AD277" s="138">
        <v>4</v>
      </c>
      <c r="AE277" s="138">
        <v>4</v>
      </c>
      <c r="AF277" s="137">
        <v>2</v>
      </c>
      <c r="AG277" s="138">
        <v>3</v>
      </c>
      <c r="AH277" s="138">
        <v>4</v>
      </c>
      <c r="AI277" s="138">
        <v>4</v>
      </c>
      <c r="AJ277" s="138">
        <v>4</v>
      </c>
      <c r="AK277" s="93">
        <f t="shared" si="26"/>
        <v>169.93728975846781</v>
      </c>
      <c r="AM277" s="173"/>
      <c r="AN277" s="174"/>
      <c r="AO277" s="138" t="s">
        <v>49</v>
      </c>
      <c r="AP277" s="138">
        <f t="shared" si="30"/>
        <v>0.49</v>
      </c>
      <c r="AQ277" s="140">
        <f>IF(head!F$82="S235",235,IF(head!F$82="S275",275,IF(head!F$82="S355",355,IF(head!F$82="S420",420,460))))^0.5*head!$G$70*1000/(S277*3.1416*210000^0.5)</f>
        <v>1.3192307051875205</v>
      </c>
      <c r="AR277" s="140">
        <f t="shared" si="27"/>
        <v>1.6443963495257239</v>
      </c>
      <c r="AS277" s="140">
        <f t="shared" si="28"/>
        <v>0.38079815454080967</v>
      </c>
      <c r="AT277" s="141">
        <f>IF(head!F$82="S235",235,IF(head!F$82="S275",275,IF(head!F$82="S355",355,IF(head!F$82="S420",420,460))))*AS277*J277/1000</f>
        <v>779.10109086688021</v>
      </c>
      <c r="AU277" s="199" t="s">
        <v>47</v>
      </c>
      <c r="AV277" s="142" t="s">
        <v>47</v>
      </c>
      <c r="AW277" s="142" t="s">
        <v>47</v>
      </c>
      <c r="AX277" s="143" t="s">
        <v>47</v>
      </c>
      <c r="AY277" s="135" t="s">
        <v>47</v>
      </c>
      <c r="AZ277" s="200">
        <v>0</v>
      </c>
      <c r="BA277" s="144" t="str">
        <f t="shared" si="29"/>
        <v>CF SHS 250 x 8</v>
      </c>
    </row>
    <row r="278" spans="1:53" s="146" customFormat="1">
      <c r="A278" s="128" t="s">
        <v>286</v>
      </c>
      <c r="B278" s="83">
        <f t="shared" si="25"/>
        <v>999.78372286499132</v>
      </c>
      <c r="C278" s="130">
        <v>250</v>
      </c>
      <c r="D278" s="130">
        <v>250</v>
      </c>
      <c r="E278" s="131">
        <v>8</v>
      </c>
      <c r="F278" s="130"/>
      <c r="G278" s="130"/>
      <c r="H278" s="132">
        <v>59.06534459665405</v>
      </c>
      <c r="I278" s="133">
        <v>60.193981754551899</v>
      </c>
      <c r="J278" s="133">
        <v>7524.247719318987</v>
      </c>
      <c r="K278" s="133">
        <v>0.96566370614359176</v>
      </c>
      <c r="L278" s="134">
        <v>72292048.795319185</v>
      </c>
      <c r="M278" s="135">
        <v>578336.39036255353</v>
      </c>
      <c r="N278" s="135">
        <v>675768.6771951603</v>
      </c>
      <c r="O278" s="136">
        <v>98.019780101441754</v>
      </c>
      <c r="P278" s="135">
        <v>72292048.795319185</v>
      </c>
      <c r="Q278" s="135">
        <v>578336.39036255353</v>
      </c>
      <c r="R278" s="135">
        <v>675768.6771951603</v>
      </c>
      <c r="S278" s="133">
        <v>98.019780101441754</v>
      </c>
      <c r="T278" s="134">
        <v>116146823.71031301</v>
      </c>
      <c r="U278" s="171"/>
      <c r="V278" s="137">
        <v>1</v>
      </c>
      <c r="W278" s="138">
        <v>1</v>
      </c>
      <c r="X278" s="138">
        <v>1</v>
      </c>
      <c r="Y278" s="138">
        <v>2</v>
      </c>
      <c r="Z278" s="138">
        <v>2</v>
      </c>
      <c r="AA278" s="139">
        <v>1</v>
      </c>
      <c r="AB278" s="138">
        <v>2</v>
      </c>
      <c r="AC278" s="138">
        <v>2</v>
      </c>
      <c r="AD278" s="138">
        <v>3</v>
      </c>
      <c r="AE278" s="138">
        <v>4</v>
      </c>
      <c r="AF278" s="137">
        <v>1</v>
      </c>
      <c r="AG278" s="138">
        <v>1</v>
      </c>
      <c r="AH278" s="138">
        <v>1</v>
      </c>
      <c r="AI278" s="138">
        <v>2</v>
      </c>
      <c r="AJ278" s="138">
        <v>2</v>
      </c>
      <c r="AK278" s="93">
        <f t="shared" si="26"/>
        <v>128.34023309256398</v>
      </c>
      <c r="AM278" s="173"/>
      <c r="AN278" s="174"/>
      <c r="AO278" s="138" t="s">
        <v>49</v>
      </c>
      <c r="AP278" s="138">
        <f t="shared" si="30"/>
        <v>0.49</v>
      </c>
      <c r="AQ278" s="140">
        <f>IF(head!F$82="S235",235,IF(head!F$82="S275",275,IF(head!F$82="S355",355,IF(head!F$82="S420",420,460))))^0.5*head!$G$70*1000/(S278*3.1416*210000^0.5)</f>
        <v>1.3351803034658856</v>
      </c>
      <c r="AR278" s="140">
        <f t="shared" si="27"/>
        <v>1.6694723957307691</v>
      </c>
      <c r="AS278" s="140">
        <f t="shared" si="28"/>
        <v>0.37429551526506394</v>
      </c>
      <c r="AT278" s="141">
        <f>IF(head!F$82="S235",235,IF(head!F$82="S275",275,IF(head!F$82="S355",355,IF(head!F$82="S420",420,460))))*AS278*J278/1000</f>
        <v>999.78372286499132</v>
      </c>
      <c r="AU278" s="199" t="s">
        <v>47</v>
      </c>
      <c r="AV278" s="142" t="s">
        <v>47</v>
      </c>
      <c r="AW278" s="142" t="s">
        <v>47</v>
      </c>
      <c r="AX278" s="143" t="s">
        <v>47</v>
      </c>
      <c r="AY278" s="135" t="s">
        <v>47</v>
      </c>
      <c r="AZ278" s="200">
        <v>0</v>
      </c>
      <c r="BA278" s="144" t="str">
        <f t="shared" si="29"/>
        <v>CF SHS 250 x 10</v>
      </c>
    </row>
    <row r="279" spans="1:53" s="146" customFormat="1">
      <c r="A279" s="128" t="s">
        <v>542</v>
      </c>
      <c r="B279" s="83">
        <f t="shared" si="25"/>
        <v>1211.2389677649389</v>
      </c>
      <c r="C279" s="130">
        <v>250</v>
      </c>
      <c r="D279" s="130">
        <v>250</v>
      </c>
      <c r="E279" s="131">
        <v>10</v>
      </c>
      <c r="F279" s="130"/>
      <c r="G279" s="130"/>
      <c r="H279" s="132">
        <v>72.664600932271938</v>
      </c>
      <c r="I279" s="133">
        <v>74.053096491487324</v>
      </c>
      <c r="J279" s="133">
        <v>9256.6370614359166</v>
      </c>
      <c r="K279" s="133">
        <v>0.9570796326794897</v>
      </c>
      <c r="L279" s="134">
        <v>87066739.323247597</v>
      </c>
      <c r="M279" s="135">
        <v>696533.91458598082</v>
      </c>
      <c r="N279" s="135">
        <v>821997.03947692504</v>
      </c>
      <c r="O279" s="136">
        <v>96.983872705479854</v>
      </c>
      <c r="P279" s="135">
        <v>87066739.323247597</v>
      </c>
      <c r="Q279" s="135">
        <v>696533.91458598082</v>
      </c>
      <c r="R279" s="135">
        <v>821997.03947692504</v>
      </c>
      <c r="S279" s="133">
        <v>96.983872705479854</v>
      </c>
      <c r="T279" s="134">
        <v>142208232.19881099</v>
      </c>
      <c r="U279" s="171"/>
      <c r="V279" s="137">
        <v>1</v>
      </c>
      <c r="W279" s="138">
        <v>1</v>
      </c>
      <c r="X279" s="138">
        <v>1</v>
      </c>
      <c r="Y279" s="138">
        <v>1</v>
      </c>
      <c r="Z279" s="138">
        <v>1</v>
      </c>
      <c r="AA279" s="139">
        <v>1</v>
      </c>
      <c r="AB279" s="138">
        <v>1</v>
      </c>
      <c r="AC279" s="138">
        <v>1</v>
      </c>
      <c r="AD279" s="138">
        <v>1</v>
      </c>
      <c r="AE279" s="138">
        <v>1</v>
      </c>
      <c r="AF279" s="137">
        <v>1</v>
      </c>
      <c r="AG279" s="138">
        <v>1</v>
      </c>
      <c r="AH279" s="138">
        <v>1</v>
      </c>
      <c r="AI279" s="138">
        <v>1</v>
      </c>
      <c r="AJ279" s="138">
        <v>1</v>
      </c>
      <c r="AK279" s="93">
        <f t="shared" si="26"/>
        <v>103.39388120409085</v>
      </c>
      <c r="AM279" s="173"/>
      <c r="AN279" s="174"/>
      <c r="AO279" s="138" t="s">
        <v>49</v>
      </c>
      <c r="AP279" s="138">
        <f t="shared" si="30"/>
        <v>0.49</v>
      </c>
      <c r="AQ279" s="140">
        <f>IF(head!F$82="S235",235,IF(head!F$82="S275",275,IF(head!F$82="S355",355,IF(head!F$82="S420",420,460))))^0.5*head!$G$70*1000/(S279*3.1416*210000^0.5)</f>
        <v>1.3494416761324857</v>
      </c>
      <c r="AR279" s="140">
        <f t="shared" si="27"/>
        <v>1.6921096292940851</v>
      </c>
      <c r="AS279" s="140">
        <f t="shared" si="28"/>
        <v>0.36859398630653062</v>
      </c>
      <c r="AT279" s="141">
        <f>IF(head!F$82="S235",235,IF(head!F$82="S275",275,IF(head!F$82="S355",355,IF(head!F$82="S420",420,460))))*AS279*J279/1000</f>
        <v>1211.2389677649389</v>
      </c>
      <c r="AU279" s="199" t="s">
        <v>47</v>
      </c>
      <c r="AV279" s="142" t="s">
        <v>47</v>
      </c>
      <c r="AW279" s="142" t="s">
        <v>47</v>
      </c>
      <c r="AX279" s="143" t="s">
        <v>47</v>
      </c>
      <c r="AY279" s="135" t="s">
        <v>47</v>
      </c>
      <c r="AZ279" s="200">
        <v>0</v>
      </c>
      <c r="BA279" s="144" t="str">
        <f t="shared" si="29"/>
        <v>CF SHS 250 x 12,5</v>
      </c>
    </row>
    <row r="280" spans="1:53" s="146" customFormat="1">
      <c r="A280" s="128" t="s">
        <v>543</v>
      </c>
      <c r="B280" s="83">
        <f t="shared" si="25"/>
        <v>1427.6133251935094</v>
      </c>
      <c r="C280" s="130">
        <v>250</v>
      </c>
      <c r="D280" s="130">
        <v>250</v>
      </c>
      <c r="E280" s="131">
        <v>12.5</v>
      </c>
      <c r="F280" s="130"/>
      <c r="G280" s="130"/>
      <c r="H280" s="132">
        <v>87.954298695843647</v>
      </c>
      <c r="I280" s="133">
        <v>89.634954084936197</v>
      </c>
      <c r="J280" s="133">
        <v>11204.369260617026</v>
      </c>
      <c r="K280" s="133">
        <v>0.93561944901923444</v>
      </c>
      <c r="L280" s="134">
        <v>101613144.8750895</v>
      </c>
      <c r="M280" s="135">
        <v>812905.15900071594</v>
      </c>
      <c r="N280" s="135">
        <v>975173.97697065654</v>
      </c>
      <c r="O280" s="136">
        <v>95.231634792002623</v>
      </c>
      <c r="P280" s="135">
        <v>101613144.8750895</v>
      </c>
      <c r="Q280" s="135">
        <v>812905.15900071594</v>
      </c>
      <c r="R280" s="135">
        <v>975173.97697065654</v>
      </c>
      <c r="S280" s="133">
        <v>95.231634792002623</v>
      </c>
      <c r="T280" s="134">
        <v>173039929.041022</v>
      </c>
      <c r="U280" s="171"/>
      <c r="V280" s="137">
        <v>1</v>
      </c>
      <c r="W280" s="138">
        <v>1</v>
      </c>
      <c r="X280" s="138">
        <v>1</v>
      </c>
      <c r="Y280" s="138">
        <v>1</v>
      </c>
      <c r="Z280" s="138">
        <v>1</v>
      </c>
      <c r="AA280" s="139">
        <v>1</v>
      </c>
      <c r="AB280" s="138">
        <v>1</v>
      </c>
      <c r="AC280" s="138">
        <v>1</v>
      </c>
      <c r="AD280" s="138">
        <v>1</v>
      </c>
      <c r="AE280" s="138">
        <v>1</v>
      </c>
      <c r="AF280" s="137">
        <v>1</v>
      </c>
      <c r="AG280" s="138">
        <v>1</v>
      </c>
      <c r="AH280" s="138">
        <v>1</v>
      </c>
      <c r="AI280" s="138">
        <v>1</v>
      </c>
      <c r="AJ280" s="138">
        <v>1</v>
      </c>
      <c r="AK280" s="93">
        <f t="shared" si="26"/>
        <v>83.504874505332907</v>
      </c>
      <c r="AM280" s="173"/>
      <c r="AN280" s="174"/>
      <c r="AO280" s="138" t="s">
        <v>49</v>
      </c>
      <c r="AP280" s="138">
        <f t="shared" si="30"/>
        <v>0.49</v>
      </c>
      <c r="AQ280" s="140">
        <f>IF(head!F$82="S235",235,IF(head!F$82="S275",275,IF(head!F$82="S355",355,IF(head!F$82="S420",420,460))))^0.5*head!$G$70*1000/(S280*3.1416*210000^0.5)</f>
        <v>1.3742710605288582</v>
      </c>
      <c r="AR280" s="140">
        <f t="shared" si="27"/>
        <v>1.7320068837331264</v>
      </c>
      <c r="AS280" s="140">
        <f t="shared" si="28"/>
        <v>0.35891765907750245</v>
      </c>
      <c r="AT280" s="141">
        <f>IF(head!F$82="S235",235,IF(head!F$82="S275",275,IF(head!F$82="S355",355,IF(head!F$82="S420",420,460))))*AS280*J280/1000</f>
        <v>1427.6133251935094</v>
      </c>
      <c r="AU280" s="199" t="s">
        <v>47</v>
      </c>
      <c r="AV280" s="142" t="s">
        <v>47</v>
      </c>
      <c r="AW280" s="142" t="s">
        <v>47</v>
      </c>
      <c r="AX280" s="143" t="s">
        <v>47</v>
      </c>
      <c r="AY280" s="135" t="s">
        <v>47</v>
      </c>
      <c r="AZ280" s="200">
        <v>0</v>
      </c>
      <c r="BA280" s="144" t="str">
        <f t="shared" si="29"/>
        <v>CF SHS 300 x 6</v>
      </c>
    </row>
    <row r="281" spans="1:53" s="146" customFormat="1">
      <c r="A281" s="128" t="s">
        <v>544</v>
      </c>
      <c r="B281" s="83">
        <f t="shared" si="25"/>
        <v>1204.843072704833</v>
      </c>
      <c r="C281" s="130">
        <v>300</v>
      </c>
      <c r="D281" s="130">
        <v>300</v>
      </c>
      <c r="E281" s="131">
        <v>6</v>
      </c>
      <c r="F281" s="130"/>
      <c r="G281" s="130"/>
      <c r="H281" s="132">
        <v>54.661842251713423</v>
      </c>
      <c r="I281" s="133">
        <v>55.70633605270158</v>
      </c>
      <c r="J281" s="133">
        <v>6963.2920065876979</v>
      </c>
      <c r="K281" s="133">
        <v>1.1793982236861551</v>
      </c>
      <c r="L281" s="134">
        <v>99636681.113752559</v>
      </c>
      <c r="M281" s="135">
        <v>664244.54075835051</v>
      </c>
      <c r="N281" s="135">
        <v>764230.29690910224</v>
      </c>
      <c r="O281" s="136">
        <v>119.61959358217989</v>
      </c>
      <c r="P281" s="135">
        <v>99636681.113752559</v>
      </c>
      <c r="Q281" s="135">
        <v>664244.54075835051</v>
      </c>
      <c r="R281" s="135">
        <v>764230.29690910224</v>
      </c>
      <c r="S281" s="133">
        <v>119.61959358217989</v>
      </c>
      <c r="T281" s="134">
        <v>154552253.889644</v>
      </c>
      <c r="U281" s="171"/>
      <c r="V281" s="137">
        <v>4</v>
      </c>
      <c r="W281" s="138">
        <v>4</v>
      </c>
      <c r="X281" s="138">
        <v>4</v>
      </c>
      <c r="Y281" s="138">
        <v>4</v>
      </c>
      <c r="Z281" s="138">
        <v>4</v>
      </c>
      <c r="AA281" s="139">
        <v>4</v>
      </c>
      <c r="AB281" s="138">
        <v>4</v>
      </c>
      <c r="AC281" s="138">
        <v>4</v>
      </c>
      <c r="AD281" s="138">
        <v>4</v>
      </c>
      <c r="AE281" s="138">
        <v>4</v>
      </c>
      <c r="AF281" s="137">
        <v>4</v>
      </c>
      <c r="AG281" s="138">
        <v>4</v>
      </c>
      <c r="AH281" s="138">
        <v>4</v>
      </c>
      <c r="AI281" s="138">
        <v>4</v>
      </c>
      <c r="AJ281" s="138">
        <v>4</v>
      </c>
      <c r="AK281" s="93">
        <f t="shared" si="26"/>
        <v>169.3736558183073</v>
      </c>
      <c r="AM281" s="173"/>
      <c r="AN281" s="174"/>
      <c r="AO281" s="138" t="s">
        <v>49</v>
      </c>
      <c r="AP281" s="138">
        <f t="shared" si="30"/>
        <v>0.49</v>
      </c>
      <c r="AQ281" s="140">
        <f>IF(head!F$82="S235",235,IF(head!F$82="S275",275,IF(head!F$82="S355",355,IF(head!F$82="S420",420,460))))^0.5*head!$G$70*1000/(S281*3.1416*210000^0.5)</f>
        <v>1.0940856411754194</v>
      </c>
      <c r="AR281" s="140">
        <f t="shared" si="27"/>
        <v>1.3175626772010922</v>
      </c>
      <c r="AS281" s="140">
        <f t="shared" si="28"/>
        <v>0.48740224383143199</v>
      </c>
      <c r="AT281" s="141">
        <f>IF(head!F$82="S235",235,IF(head!F$82="S275",275,IF(head!F$82="S355",355,IF(head!F$82="S420",420,460))))*AS281*J281/1000</f>
        <v>1204.843072704833</v>
      </c>
      <c r="AU281" s="199" t="s">
        <v>47</v>
      </c>
      <c r="AV281" s="142" t="s">
        <v>47</v>
      </c>
      <c r="AW281" s="142" t="s">
        <v>47</v>
      </c>
      <c r="AX281" s="143" t="s">
        <v>47</v>
      </c>
      <c r="AY281" s="135" t="s">
        <v>47</v>
      </c>
      <c r="AZ281" s="200">
        <v>0</v>
      </c>
      <c r="BA281" s="144" t="str">
        <f t="shared" si="29"/>
        <v>CF SHS 300 x 8</v>
      </c>
    </row>
    <row r="282" spans="1:53" s="146" customFormat="1">
      <c r="A282" s="128" t="s">
        <v>287</v>
      </c>
      <c r="B282" s="83">
        <f t="shared" si="25"/>
        <v>1560.052798767344</v>
      </c>
      <c r="C282" s="130">
        <v>300</v>
      </c>
      <c r="D282" s="130">
        <v>300</v>
      </c>
      <c r="E282" s="131">
        <v>8</v>
      </c>
      <c r="F282" s="130"/>
      <c r="G282" s="130"/>
      <c r="H282" s="132">
        <v>71.62534459665406</v>
      </c>
      <c r="I282" s="133">
        <v>72.993981754551911</v>
      </c>
      <c r="J282" s="133">
        <v>9124.2477193189879</v>
      </c>
      <c r="K282" s="133">
        <v>1.1656637061435917</v>
      </c>
      <c r="L282" s="134">
        <v>128006870.81298488</v>
      </c>
      <c r="M282" s="135">
        <v>853379.13875323255</v>
      </c>
      <c r="N282" s="135">
        <v>990674.870178135</v>
      </c>
      <c r="O282" s="136">
        <v>118.4453748621878</v>
      </c>
      <c r="P282" s="135">
        <v>128006870.81298488</v>
      </c>
      <c r="Q282" s="135">
        <v>853379.13875323255</v>
      </c>
      <c r="R282" s="135">
        <v>990674.870178135</v>
      </c>
      <c r="S282" s="133">
        <v>118.4453748621878</v>
      </c>
      <c r="T282" s="134">
        <v>203379264.79774201</v>
      </c>
      <c r="U282" s="171"/>
      <c r="V282" s="137">
        <v>1</v>
      </c>
      <c r="W282" s="138">
        <v>2</v>
      </c>
      <c r="X282" s="138">
        <v>3</v>
      </c>
      <c r="Y282" s="138">
        <v>4</v>
      </c>
      <c r="Z282" s="138">
        <v>4</v>
      </c>
      <c r="AA282" s="139">
        <v>3</v>
      </c>
      <c r="AB282" s="138">
        <v>3</v>
      </c>
      <c r="AC282" s="138">
        <v>4</v>
      </c>
      <c r="AD282" s="138">
        <v>4</v>
      </c>
      <c r="AE282" s="138">
        <v>4</v>
      </c>
      <c r="AF282" s="137">
        <v>1</v>
      </c>
      <c r="AG282" s="138">
        <v>2</v>
      </c>
      <c r="AH282" s="138">
        <v>3</v>
      </c>
      <c r="AI282" s="138">
        <v>4</v>
      </c>
      <c r="AJ282" s="138">
        <v>4</v>
      </c>
      <c r="AK282" s="93">
        <f t="shared" si="26"/>
        <v>127.7545000970879</v>
      </c>
      <c r="AM282" s="173"/>
      <c r="AN282" s="174"/>
      <c r="AO282" s="138" t="s">
        <v>49</v>
      </c>
      <c r="AP282" s="138">
        <f t="shared" si="30"/>
        <v>0.49</v>
      </c>
      <c r="AQ282" s="140">
        <f>IF(head!F$82="S235",235,IF(head!F$82="S275",275,IF(head!F$82="S355",355,IF(head!F$82="S420",420,460))))^0.5*head!$G$70*1000/(S282*3.1416*210000^0.5)</f>
        <v>1.1049319561340023</v>
      </c>
      <c r="AR282" s="140">
        <f t="shared" si="27"/>
        <v>1.3321456430958869</v>
      </c>
      <c r="AS282" s="140">
        <f t="shared" si="28"/>
        <v>0.48163038326990865</v>
      </c>
      <c r="AT282" s="141">
        <f>IF(head!F$82="S235",235,IF(head!F$82="S275",275,IF(head!F$82="S355",355,IF(head!F$82="S420",420,460))))*AS282*J282/1000</f>
        <v>1560.052798767344</v>
      </c>
      <c r="AU282" s="199" t="s">
        <v>47</v>
      </c>
      <c r="AV282" s="142" t="s">
        <v>47</v>
      </c>
      <c r="AW282" s="142" t="s">
        <v>47</v>
      </c>
      <c r="AX282" s="143" t="s">
        <v>47</v>
      </c>
      <c r="AY282" s="135" t="s">
        <v>47</v>
      </c>
      <c r="AZ282" s="200">
        <v>0</v>
      </c>
      <c r="BA282" s="144" t="str">
        <f t="shared" si="29"/>
        <v>CF SHS 300 x 10</v>
      </c>
    </row>
    <row r="283" spans="1:53" s="146" customFormat="1">
      <c r="A283" s="128" t="s">
        <v>545</v>
      </c>
      <c r="B283" s="83">
        <f t="shared" si="25"/>
        <v>1904.2863703797791</v>
      </c>
      <c r="C283" s="130">
        <v>300</v>
      </c>
      <c r="D283" s="130">
        <v>300</v>
      </c>
      <c r="E283" s="131">
        <v>10</v>
      </c>
      <c r="F283" s="130"/>
      <c r="G283" s="130"/>
      <c r="H283" s="132">
        <v>88.364600932271941</v>
      </c>
      <c r="I283" s="133">
        <v>90.053096491487324</v>
      </c>
      <c r="J283" s="133">
        <v>11256.637061435917</v>
      </c>
      <c r="K283" s="133">
        <v>1.1570796326794897</v>
      </c>
      <c r="L283" s="134">
        <v>155193656.12715802</v>
      </c>
      <c r="M283" s="135">
        <v>1034624.3741810534</v>
      </c>
      <c r="N283" s="135">
        <v>1210912.9660128229</v>
      </c>
      <c r="O283" s="136">
        <v>117.41745162887099</v>
      </c>
      <c r="P283" s="135">
        <v>155193656.12715802</v>
      </c>
      <c r="Q283" s="135">
        <v>1034624.3741810534</v>
      </c>
      <c r="R283" s="135">
        <v>1210912.9660128229</v>
      </c>
      <c r="S283" s="133">
        <v>117.41745162887099</v>
      </c>
      <c r="T283" s="134">
        <v>250030333.12609899</v>
      </c>
      <c r="U283" s="171"/>
      <c r="V283" s="137">
        <v>1</v>
      </c>
      <c r="W283" s="138">
        <v>1</v>
      </c>
      <c r="X283" s="138">
        <v>1</v>
      </c>
      <c r="Y283" s="138">
        <v>2</v>
      </c>
      <c r="Z283" s="138">
        <v>2</v>
      </c>
      <c r="AA283" s="139">
        <v>1</v>
      </c>
      <c r="AB283" s="138">
        <v>1</v>
      </c>
      <c r="AC283" s="138">
        <v>2</v>
      </c>
      <c r="AD283" s="138">
        <v>3</v>
      </c>
      <c r="AE283" s="138">
        <v>3</v>
      </c>
      <c r="AF283" s="137">
        <v>1</v>
      </c>
      <c r="AG283" s="138">
        <v>1</v>
      </c>
      <c r="AH283" s="138">
        <v>1</v>
      </c>
      <c r="AI283" s="138">
        <v>2</v>
      </c>
      <c r="AJ283" s="138">
        <v>2</v>
      </c>
      <c r="AK283" s="93">
        <f t="shared" si="26"/>
        <v>102.79088029261649</v>
      </c>
      <c r="AM283" s="173"/>
      <c r="AN283" s="174"/>
      <c r="AO283" s="138" t="s">
        <v>49</v>
      </c>
      <c r="AP283" s="138">
        <f t="shared" si="30"/>
        <v>0.49</v>
      </c>
      <c r="AQ283" s="140">
        <f>IF(head!F$82="S235",235,IF(head!F$82="S275",275,IF(head!F$82="S355",355,IF(head!F$82="S420",420,460))))^0.5*head!$G$70*1000/(S283*3.1416*210000^0.5)</f>
        <v>1.1146050091017525</v>
      </c>
      <c r="AR283" s="140">
        <f t="shared" si="27"/>
        <v>1.3452503903872883</v>
      </c>
      <c r="AS283" s="140">
        <f t="shared" si="28"/>
        <v>0.47653548120454486</v>
      </c>
      <c r="AT283" s="141">
        <f>IF(head!F$82="S235",235,IF(head!F$82="S275",275,IF(head!F$82="S355",355,IF(head!F$82="S420",420,460))))*AS283*J283/1000</f>
        <v>1904.2863703797791</v>
      </c>
      <c r="AU283" s="199" t="s">
        <v>47</v>
      </c>
      <c r="AV283" s="142" t="s">
        <v>47</v>
      </c>
      <c r="AW283" s="142" t="s">
        <v>47</v>
      </c>
      <c r="AX283" s="143" t="s">
        <v>47</v>
      </c>
      <c r="AY283" s="135" t="s">
        <v>47</v>
      </c>
      <c r="AZ283" s="200">
        <v>0</v>
      </c>
      <c r="BA283" s="144" t="str">
        <f t="shared" si="29"/>
        <v>CF SHS 300 x 12,5</v>
      </c>
    </row>
    <row r="284" spans="1:53" s="146" customFormat="1">
      <c r="A284" s="128" t="s">
        <v>546</v>
      </c>
      <c r="B284" s="83">
        <f t="shared" si="25"/>
        <v>2276.7550579047897</v>
      </c>
      <c r="C284" s="130">
        <v>300</v>
      </c>
      <c r="D284" s="130">
        <v>300</v>
      </c>
      <c r="E284" s="131">
        <v>12.5</v>
      </c>
      <c r="F284" s="130"/>
      <c r="G284" s="130"/>
      <c r="H284" s="132">
        <v>107.57929869584365</v>
      </c>
      <c r="I284" s="133">
        <v>109.6349540849362</v>
      </c>
      <c r="J284" s="133">
        <v>13704.369260617026</v>
      </c>
      <c r="K284" s="133">
        <v>1.1356194490192344</v>
      </c>
      <c r="L284" s="134">
        <v>183481345.34484133</v>
      </c>
      <c r="M284" s="135">
        <v>1223208.9689656089</v>
      </c>
      <c r="N284" s="135">
        <v>1450595.708486082</v>
      </c>
      <c r="O284" s="136">
        <v>115.70881126897896</v>
      </c>
      <c r="P284" s="135">
        <v>183481345.34484133</v>
      </c>
      <c r="Q284" s="135">
        <v>1223208.9689656089</v>
      </c>
      <c r="R284" s="135">
        <v>1450595.708486082</v>
      </c>
      <c r="S284" s="133">
        <v>115.70881126897896</v>
      </c>
      <c r="T284" s="134">
        <v>306380327.33265001</v>
      </c>
      <c r="U284" s="171"/>
      <c r="V284" s="137">
        <v>1</v>
      </c>
      <c r="W284" s="138">
        <v>1</v>
      </c>
      <c r="X284" s="138">
        <v>1</v>
      </c>
      <c r="Y284" s="138">
        <v>1</v>
      </c>
      <c r="Z284" s="138">
        <v>1</v>
      </c>
      <c r="AA284" s="139">
        <v>1</v>
      </c>
      <c r="AB284" s="138">
        <v>1</v>
      </c>
      <c r="AC284" s="138">
        <v>1</v>
      </c>
      <c r="AD284" s="138">
        <v>1</v>
      </c>
      <c r="AE284" s="138">
        <v>1</v>
      </c>
      <c r="AF284" s="137">
        <v>1</v>
      </c>
      <c r="AG284" s="138">
        <v>1</v>
      </c>
      <c r="AH284" s="138">
        <v>1</v>
      </c>
      <c r="AI284" s="138">
        <v>1</v>
      </c>
      <c r="AJ284" s="138">
        <v>1</v>
      </c>
      <c r="AK284" s="93">
        <f t="shared" si="26"/>
        <v>82.865502776747576</v>
      </c>
      <c r="AM284" s="173"/>
      <c r="AN284" s="174"/>
      <c r="AO284" s="138" t="s">
        <v>49</v>
      </c>
      <c r="AP284" s="138">
        <f t="shared" si="30"/>
        <v>0.49</v>
      </c>
      <c r="AQ284" s="140">
        <f>IF(head!F$82="S235",235,IF(head!F$82="S275",275,IF(head!F$82="S355",355,IF(head!F$82="S420",420,460))))^0.5*head!$G$70*1000/(S284*3.1416*210000^0.5)</f>
        <v>1.1310640763326996</v>
      </c>
      <c r="AR284" s="140">
        <f t="shared" si="27"/>
        <v>1.3677636710866827</v>
      </c>
      <c r="AS284" s="140">
        <f t="shared" si="28"/>
        <v>0.46798173687130418</v>
      </c>
      <c r="AT284" s="141">
        <f>IF(head!F$82="S235",235,IF(head!F$82="S275",275,IF(head!F$82="S355",355,IF(head!F$82="S420",420,460))))*AS284*J284/1000</f>
        <v>2276.7550579047897</v>
      </c>
      <c r="AU284" s="199" t="s">
        <v>47</v>
      </c>
      <c r="AV284" s="142" t="s">
        <v>47</v>
      </c>
      <c r="AW284" s="142" t="s">
        <v>47</v>
      </c>
      <c r="AX284" s="143" t="s">
        <v>47</v>
      </c>
      <c r="AY284" s="135" t="s">
        <v>47</v>
      </c>
      <c r="AZ284" s="200">
        <v>0</v>
      </c>
      <c r="BA284" s="144" t="str">
        <f t="shared" si="29"/>
        <v>CF SHS 300 x 16</v>
      </c>
    </row>
    <row r="285" spans="1:53" s="146" customFormat="1">
      <c r="A285" s="128" t="s">
        <v>547</v>
      </c>
      <c r="B285" s="83">
        <f t="shared" si="25"/>
        <v>2775.2657899085689</v>
      </c>
      <c r="C285" s="130">
        <v>300</v>
      </c>
      <c r="D285" s="130">
        <v>300</v>
      </c>
      <c r="E285" s="131">
        <v>16</v>
      </c>
      <c r="F285" s="130"/>
      <c r="G285" s="130"/>
      <c r="H285" s="132">
        <v>134.05632298327023</v>
      </c>
      <c r="I285" s="133">
        <v>136.61790877275948</v>
      </c>
      <c r="J285" s="133">
        <v>17077.238596594936</v>
      </c>
      <c r="K285" s="133">
        <v>1.1175928947446201</v>
      </c>
      <c r="L285" s="134">
        <v>220759724.87134072</v>
      </c>
      <c r="M285" s="135">
        <v>1471731.4991422717</v>
      </c>
      <c r="N285" s="135">
        <v>1773835.6701860167</v>
      </c>
      <c r="O285" s="136">
        <v>113.69754803721601</v>
      </c>
      <c r="P285" s="135">
        <v>220759724.87134072</v>
      </c>
      <c r="Q285" s="135">
        <v>1471731.4991422717</v>
      </c>
      <c r="R285" s="135">
        <v>1773835.6701860167</v>
      </c>
      <c r="S285" s="133">
        <v>113.69754803721601</v>
      </c>
      <c r="T285" s="134">
        <v>378827650.65761602</v>
      </c>
      <c r="U285" s="171"/>
      <c r="V285" s="137">
        <v>1</v>
      </c>
      <c r="W285" s="138">
        <v>1</v>
      </c>
      <c r="X285" s="138">
        <v>1</v>
      </c>
      <c r="Y285" s="138">
        <v>1</v>
      </c>
      <c r="Z285" s="138">
        <v>1</v>
      </c>
      <c r="AA285" s="139">
        <v>1</v>
      </c>
      <c r="AB285" s="138">
        <v>1</v>
      </c>
      <c r="AC285" s="138">
        <v>1</v>
      </c>
      <c r="AD285" s="138">
        <v>1</v>
      </c>
      <c r="AE285" s="138">
        <v>1</v>
      </c>
      <c r="AF285" s="137">
        <v>1</v>
      </c>
      <c r="AG285" s="138">
        <v>1</v>
      </c>
      <c r="AH285" s="138">
        <v>1</v>
      </c>
      <c r="AI285" s="138">
        <v>1</v>
      </c>
      <c r="AJ285" s="138">
        <v>1</v>
      </c>
      <c r="AK285" s="93">
        <f t="shared" si="26"/>
        <v>65.443419814223304</v>
      </c>
      <c r="AM285" s="173"/>
      <c r="AN285" s="174"/>
      <c r="AO285" s="138" t="s">
        <v>49</v>
      </c>
      <c r="AP285" s="138">
        <f t="shared" si="30"/>
        <v>0.49</v>
      </c>
      <c r="AQ285" s="140">
        <f>IF(head!F$82="S235",235,IF(head!F$82="S275",275,IF(head!F$82="S355",355,IF(head!F$82="S420",420,460))))^0.5*head!$G$70*1000/(S285*3.1416*210000^0.5)</f>
        <v>1.1510721383249536</v>
      </c>
      <c r="AR285" s="140">
        <f t="shared" si="27"/>
        <v>1.3954962077036042</v>
      </c>
      <c r="AS285" s="140">
        <f t="shared" si="28"/>
        <v>0.45778186374799962</v>
      </c>
      <c r="AT285" s="141">
        <f>IF(head!F$82="S235",235,IF(head!F$82="S275",275,IF(head!F$82="S355",355,IF(head!F$82="S420",420,460))))*AS285*J285/1000</f>
        <v>2775.2657899085689</v>
      </c>
      <c r="AU285" s="199" t="s">
        <v>47</v>
      </c>
      <c r="AV285" s="142" t="s">
        <v>47</v>
      </c>
      <c r="AW285" s="142" t="s">
        <v>47</v>
      </c>
      <c r="AX285" s="143" t="s">
        <v>47</v>
      </c>
      <c r="AY285" s="135" t="s">
        <v>47</v>
      </c>
      <c r="AZ285" s="200">
        <v>0</v>
      </c>
      <c r="BA285" s="144" t="str">
        <f t="shared" si="29"/>
        <v>CF SHS 350 x 8</v>
      </c>
    </row>
    <row r="286" spans="1:53" s="146" customFormat="1">
      <c r="A286" s="128" t="s">
        <v>288</v>
      </c>
      <c r="B286" s="83">
        <f t="shared" si="25"/>
        <v>2185.2663923045357</v>
      </c>
      <c r="C286" s="130">
        <v>350</v>
      </c>
      <c r="D286" s="130">
        <v>350</v>
      </c>
      <c r="E286" s="131">
        <v>8</v>
      </c>
      <c r="F286" s="130"/>
      <c r="G286" s="130"/>
      <c r="H286" s="132">
        <v>84.185344596654048</v>
      </c>
      <c r="I286" s="133">
        <v>85.793981754551893</v>
      </c>
      <c r="J286" s="133">
        <v>10724.247719318988</v>
      </c>
      <c r="K286" s="133">
        <v>1.3656637061435917</v>
      </c>
      <c r="L286" s="134">
        <v>206807002.47979927</v>
      </c>
      <c r="M286" s="135">
        <v>1181754.2998845673</v>
      </c>
      <c r="N286" s="135">
        <v>1365581.0631611098</v>
      </c>
      <c r="O286" s="136">
        <v>138.86704731553695</v>
      </c>
      <c r="P286" s="135">
        <v>206807002.47979927</v>
      </c>
      <c r="Q286" s="135">
        <v>1181754.2998845673</v>
      </c>
      <c r="R286" s="135">
        <v>1365581.0631611098</v>
      </c>
      <c r="S286" s="133">
        <v>138.86704731553695</v>
      </c>
      <c r="T286" s="134">
        <v>325945720.430493</v>
      </c>
      <c r="U286" s="171"/>
      <c r="V286" s="137">
        <v>3</v>
      </c>
      <c r="W286" s="138">
        <v>3</v>
      </c>
      <c r="X286" s="138">
        <v>4</v>
      </c>
      <c r="Y286" s="138">
        <v>4</v>
      </c>
      <c r="Z286" s="138">
        <v>4</v>
      </c>
      <c r="AA286" s="139">
        <v>4</v>
      </c>
      <c r="AB286" s="138">
        <v>4</v>
      </c>
      <c r="AC286" s="138">
        <v>4</v>
      </c>
      <c r="AD286" s="138">
        <v>4</v>
      </c>
      <c r="AE286" s="138">
        <v>4</v>
      </c>
      <c r="AF286" s="137">
        <v>3</v>
      </c>
      <c r="AG286" s="138">
        <v>3</v>
      </c>
      <c r="AH286" s="138">
        <v>4</v>
      </c>
      <c r="AI286" s="138">
        <v>4</v>
      </c>
      <c r="AJ286" s="138">
        <v>4</v>
      </c>
      <c r="AK286" s="93">
        <f t="shared" si="26"/>
        <v>127.3435435180636</v>
      </c>
      <c r="AM286" s="173"/>
      <c r="AN286" s="174"/>
      <c r="AO286" s="138" t="s">
        <v>49</v>
      </c>
      <c r="AP286" s="138">
        <f t="shared" si="30"/>
        <v>0.49</v>
      </c>
      <c r="AQ286" s="140">
        <f>IF(head!F$82="S235",235,IF(head!F$82="S275",275,IF(head!F$82="S355",355,IF(head!F$82="S420",420,460))))^0.5*head!$G$70*1000/(S286*3.1416*210000^0.5)</f>
        <v>0.94244158186878713</v>
      </c>
      <c r="AR286" s="140">
        <f t="shared" si="27"/>
        <v>1.1259962551755236</v>
      </c>
      <c r="AS286" s="140">
        <f t="shared" si="28"/>
        <v>0.5739964368068079</v>
      </c>
      <c r="AT286" s="141">
        <f>IF(head!F$82="S235",235,IF(head!F$82="S275",275,IF(head!F$82="S355",355,IF(head!F$82="S420",420,460))))*AS286*J286/1000</f>
        <v>2185.2663923045357</v>
      </c>
      <c r="AU286" s="199" t="s">
        <v>47</v>
      </c>
      <c r="AV286" s="142" t="s">
        <v>47</v>
      </c>
      <c r="AW286" s="142" t="s">
        <v>47</v>
      </c>
      <c r="AX286" s="143" t="s">
        <v>47</v>
      </c>
      <c r="AY286" s="135" t="s">
        <v>47</v>
      </c>
      <c r="AZ286" s="200">
        <v>0</v>
      </c>
      <c r="BA286" s="144" t="str">
        <f t="shared" si="29"/>
        <v>CF SHS 350 x 10</v>
      </c>
    </row>
    <row r="287" spans="1:53" s="146" customFormat="1">
      <c r="A287" s="128" t="s">
        <v>289</v>
      </c>
      <c r="B287" s="83">
        <f t="shared" si="25"/>
        <v>2681.5160364763733</v>
      </c>
      <c r="C287" s="130">
        <v>350</v>
      </c>
      <c r="D287" s="130">
        <v>350</v>
      </c>
      <c r="E287" s="131">
        <v>10</v>
      </c>
      <c r="F287" s="130"/>
      <c r="G287" s="130"/>
      <c r="H287" s="132">
        <v>104.06460093227194</v>
      </c>
      <c r="I287" s="133">
        <v>106.05309649148732</v>
      </c>
      <c r="J287" s="133">
        <v>13256.637061435917</v>
      </c>
      <c r="K287" s="133">
        <v>1.3570796326794896</v>
      </c>
      <c r="L287" s="134">
        <v>251891369.25786319</v>
      </c>
      <c r="M287" s="135">
        <v>1439379.2529020754</v>
      </c>
      <c r="N287" s="135">
        <v>1674828.8925487211</v>
      </c>
      <c r="O287" s="136">
        <v>137.84466440710361</v>
      </c>
      <c r="P287" s="135">
        <v>251891369.25786319</v>
      </c>
      <c r="Q287" s="135">
        <v>1439379.2529020754</v>
      </c>
      <c r="R287" s="135">
        <v>1674828.8925487211</v>
      </c>
      <c r="S287" s="133">
        <v>137.84466440710361</v>
      </c>
      <c r="T287" s="134">
        <v>401811979.44337893</v>
      </c>
      <c r="U287" s="171"/>
      <c r="V287" s="137">
        <v>1</v>
      </c>
      <c r="W287" s="138">
        <v>1</v>
      </c>
      <c r="X287" s="138">
        <v>2</v>
      </c>
      <c r="Y287" s="138">
        <v>3</v>
      </c>
      <c r="Z287" s="138">
        <v>3</v>
      </c>
      <c r="AA287" s="139">
        <v>2</v>
      </c>
      <c r="AB287" s="138">
        <v>3</v>
      </c>
      <c r="AC287" s="138">
        <v>4</v>
      </c>
      <c r="AD287" s="138">
        <v>4</v>
      </c>
      <c r="AE287" s="138">
        <v>4</v>
      </c>
      <c r="AF287" s="137">
        <v>1</v>
      </c>
      <c r="AG287" s="138">
        <v>1</v>
      </c>
      <c r="AH287" s="138">
        <v>2</v>
      </c>
      <c r="AI287" s="138">
        <v>3</v>
      </c>
      <c r="AJ287" s="138">
        <v>3</v>
      </c>
      <c r="AK287" s="93">
        <f t="shared" si="26"/>
        <v>102.3698262530916</v>
      </c>
      <c r="AM287" s="173"/>
      <c r="AN287" s="174"/>
      <c r="AO287" s="138" t="s">
        <v>49</v>
      </c>
      <c r="AP287" s="138">
        <f t="shared" si="30"/>
        <v>0.49</v>
      </c>
      <c r="AQ287" s="140">
        <f>IF(head!F$82="S235",235,IF(head!F$82="S275",275,IF(head!F$82="S355",355,IF(head!F$82="S420",420,460))))^0.5*head!$G$70*1000/(S287*3.1416*210000^0.5)</f>
        <v>0.94943159609707728</v>
      </c>
      <c r="AR287" s="140">
        <f t="shared" si="27"/>
        <v>1.1343209188775059</v>
      </c>
      <c r="AS287" s="140">
        <f t="shared" si="28"/>
        <v>0.56979505925428631</v>
      </c>
      <c r="AT287" s="141">
        <f>IF(head!F$82="S235",235,IF(head!F$82="S275",275,IF(head!F$82="S355",355,IF(head!F$82="S420",420,460))))*AS287*J287/1000</f>
        <v>2681.5160364763733</v>
      </c>
      <c r="AU287" s="199" t="s">
        <v>47</v>
      </c>
      <c r="AV287" s="142" t="s">
        <v>47</v>
      </c>
      <c r="AW287" s="142" t="s">
        <v>47</v>
      </c>
      <c r="AX287" s="143" t="s">
        <v>47</v>
      </c>
      <c r="AY287" s="135" t="s">
        <v>47</v>
      </c>
      <c r="AZ287" s="200">
        <v>0</v>
      </c>
      <c r="BA287" s="144" t="str">
        <f t="shared" si="29"/>
        <v>CF SHS 350 x 12,5</v>
      </c>
    </row>
    <row r="288" spans="1:53" s="146" customFormat="1">
      <c r="A288" s="128" t="s">
        <v>548</v>
      </c>
      <c r="B288" s="83">
        <f t="shared" si="25"/>
        <v>3237.5276071336202</v>
      </c>
      <c r="C288" s="130">
        <v>350</v>
      </c>
      <c r="D288" s="130">
        <v>350</v>
      </c>
      <c r="E288" s="131">
        <v>12.5</v>
      </c>
      <c r="F288" s="130"/>
      <c r="G288" s="130"/>
      <c r="H288" s="132">
        <v>127.20429869584365</v>
      </c>
      <c r="I288" s="133">
        <v>129.6349540849362</v>
      </c>
      <c r="J288" s="133">
        <v>16204.369260617026</v>
      </c>
      <c r="K288" s="133">
        <v>1.3356194490192346</v>
      </c>
      <c r="L288" s="134">
        <v>300448757.39036429</v>
      </c>
      <c r="M288" s="135">
        <v>1716850.0422306531</v>
      </c>
      <c r="N288" s="135">
        <v>2019767.4400015078</v>
      </c>
      <c r="O288" s="136">
        <v>136.16614442369789</v>
      </c>
      <c r="P288" s="135">
        <v>300448757.39036429</v>
      </c>
      <c r="Q288" s="135">
        <v>1716850.0422306531</v>
      </c>
      <c r="R288" s="135">
        <v>2019767.4400015078</v>
      </c>
      <c r="S288" s="133">
        <v>136.16614442369789</v>
      </c>
      <c r="T288" s="134">
        <v>494505215.527686</v>
      </c>
      <c r="U288" s="171"/>
      <c r="V288" s="137">
        <v>1</v>
      </c>
      <c r="W288" s="138">
        <v>1</v>
      </c>
      <c r="X288" s="138">
        <v>1</v>
      </c>
      <c r="Y288" s="138">
        <v>1</v>
      </c>
      <c r="Z288" s="138">
        <v>1</v>
      </c>
      <c r="AA288" s="139">
        <v>1</v>
      </c>
      <c r="AB288" s="138">
        <v>1</v>
      </c>
      <c r="AC288" s="138">
        <v>1</v>
      </c>
      <c r="AD288" s="138">
        <v>2</v>
      </c>
      <c r="AE288" s="138">
        <v>2</v>
      </c>
      <c r="AF288" s="137">
        <v>1</v>
      </c>
      <c r="AG288" s="138">
        <v>1</v>
      </c>
      <c r="AH288" s="138">
        <v>1</v>
      </c>
      <c r="AI288" s="138">
        <v>1</v>
      </c>
      <c r="AJ288" s="138">
        <v>1</v>
      </c>
      <c r="AK288" s="93">
        <f t="shared" si="26"/>
        <v>82.423414792534615</v>
      </c>
      <c r="AM288" s="173"/>
      <c r="AN288" s="174"/>
      <c r="AO288" s="138" t="s">
        <v>49</v>
      </c>
      <c r="AP288" s="138">
        <f t="shared" si="30"/>
        <v>0.49</v>
      </c>
      <c r="AQ288" s="140">
        <f>IF(head!F$82="S235",235,IF(head!F$82="S275",275,IF(head!F$82="S355",355,IF(head!F$82="S420",420,460))))^0.5*head!$G$70*1000/(S288*3.1416*210000^0.5)</f>
        <v>0.9611352388319917</v>
      </c>
      <c r="AR288" s="140">
        <f t="shared" si="27"/>
        <v>1.1483686071761527</v>
      </c>
      <c r="AS288" s="140">
        <f t="shared" si="28"/>
        <v>0.56279858411998884</v>
      </c>
      <c r="AT288" s="141">
        <f>IF(head!F$82="S235",235,IF(head!F$82="S275",275,IF(head!F$82="S355",355,IF(head!F$82="S420",420,460))))*AS288*J288/1000</f>
        <v>3237.5276071336202</v>
      </c>
      <c r="AU288" s="199" t="s">
        <v>47</v>
      </c>
      <c r="AV288" s="142" t="s">
        <v>47</v>
      </c>
      <c r="AW288" s="142" t="s">
        <v>47</v>
      </c>
      <c r="AX288" s="143" t="s">
        <v>47</v>
      </c>
      <c r="AY288" s="135" t="s">
        <v>47</v>
      </c>
      <c r="AZ288" s="200">
        <v>0</v>
      </c>
      <c r="BA288" s="144" t="str">
        <f t="shared" si="29"/>
        <v>CF SHS 400 x 10</v>
      </c>
    </row>
    <row r="289" spans="1:53" s="146" customFormat="1">
      <c r="A289" s="128" t="s">
        <v>290</v>
      </c>
      <c r="B289" s="83">
        <f t="shared" si="25"/>
        <v>3494.8224635428737</v>
      </c>
      <c r="C289" s="130">
        <v>400</v>
      </c>
      <c r="D289" s="130">
        <v>400</v>
      </c>
      <c r="E289" s="131">
        <v>10</v>
      </c>
      <c r="F289" s="130"/>
      <c r="G289" s="130"/>
      <c r="H289" s="132">
        <v>119.76460093227193</v>
      </c>
      <c r="I289" s="133">
        <v>122.05309649148732</v>
      </c>
      <c r="J289" s="133">
        <v>15256.637061435917</v>
      </c>
      <c r="K289" s="133">
        <v>1.5570796326794896</v>
      </c>
      <c r="L289" s="134">
        <v>382159878.71536344</v>
      </c>
      <c r="M289" s="135">
        <v>1910799.3935768171</v>
      </c>
      <c r="N289" s="135">
        <v>2213744.8190846192</v>
      </c>
      <c r="O289" s="136">
        <v>158.26800853989843</v>
      </c>
      <c r="P289" s="135">
        <v>382159878.71536344</v>
      </c>
      <c r="Q289" s="135">
        <v>1910799.3935768171</v>
      </c>
      <c r="R289" s="135">
        <v>2213744.8190846192</v>
      </c>
      <c r="S289" s="133">
        <v>158.26800853989843</v>
      </c>
      <c r="T289" s="134">
        <v>605053120.91017795</v>
      </c>
      <c r="U289" s="171"/>
      <c r="V289" s="137">
        <v>2</v>
      </c>
      <c r="W289" s="138">
        <v>2</v>
      </c>
      <c r="X289" s="138">
        <v>4</v>
      </c>
      <c r="Y289" s="138">
        <v>4</v>
      </c>
      <c r="Z289" s="138">
        <v>4</v>
      </c>
      <c r="AA289" s="139">
        <v>3</v>
      </c>
      <c r="AB289" s="138">
        <v>4</v>
      </c>
      <c r="AC289" s="138">
        <v>4</v>
      </c>
      <c r="AD289" s="138">
        <v>4</v>
      </c>
      <c r="AE289" s="138">
        <v>4</v>
      </c>
      <c r="AF289" s="137">
        <v>2</v>
      </c>
      <c r="AG289" s="138">
        <v>2</v>
      </c>
      <c r="AH289" s="138">
        <v>4</v>
      </c>
      <c r="AI289" s="138">
        <v>4</v>
      </c>
      <c r="AJ289" s="138">
        <v>4</v>
      </c>
      <c r="AK289" s="93">
        <f t="shared" si="26"/>
        <v>102.05916457272932</v>
      </c>
      <c r="AM289" s="173"/>
      <c r="AN289" s="174"/>
      <c r="AO289" s="138" t="s">
        <v>49</v>
      </c>
      <c r="AP289" s="138">
        <f t="shared" si="30"/>
        <v>0.49</v>
      </c>
      <c r="AQ289" s="140">
        <f>IF(head!F$82="S235",235,IF(head!F$82="S275",275,IF(head!F$82="S355",355,IF(head!F$82="S420",420,460))))^0.5*head!$G$70*1000/(S289*3.1416*210000^0.5)</f>
        <v>0.8269143015627809</v>
      </c>
      <c r="AR289" s="140">
        <f t="shared" si="27"/>
        <v>0.99548763494741221</v>
      </c>
      <c r="AS289" s="140">
        <f t="shared" si="28"/>
        <v>0.64526476445606251</v>
      </c>
      <c r="AT289" s="141">
        <f>IF(head!F$82="S235",235,IF(head!F$82="S275",275,IF(head!F$82="S355",355,IF(head!F$82="S420",420,460))))*AS289*J289/1000</f>
        <v>3494.8224635428737</v>
      </c>
      <c r="AU289" s="199" t="s">
        <v>47</v>
      </c>
      <c r="AV289" s="142" t="s">
        <v>47</v>
      </c>
      <c r="AW289" s="142" t="s">
        <v>47</v>
      </c>
      <c r="AX289" s="143" t="s">
        <v>47</v>
      </c>
      <c r="AY289" s="135" t="s">
        <v>47</v>
      </c>
      <c r="AZ289" s="200">
        <v>0</v>
      </c>
      <c r="BA289" s="144" t="str">
        <f t="shared" si="29"/>
        <v>CF SHS 400 x 12,5</v>
      </c>
    </row>
    <row r="290" spans="1:53" s="146" customFormat="1">
      <c r="A290" s="128" t="s">
        <v>549</v>
      </c>
      <c r="B290" s="83">
        <f t="shared" si="25"/>
        <v>4248.2168174526032</v>
      </c>
      <c r="C290" s="130">
        <v>400</v>
      </c>
      <c r="D290" s="130">
        <v>400</v>
      </c>
      <c r="E290" s="131">
        <v>12.5</v>
      </c>
      <c r="F290" s="130"/>
      <c r="G290" s="130"/>
      <c r="H290" s="132">
        <v>146.82929869584365</v>
      </c>
      <c r="I290" s="133">
        <v>149.6349540849362</v>
      </c>
      <c r="J290" s="133">
        <v>18704.369260617026</v>
      </c>
      <c r="K290" s="133">
        <v>1.5356194490192345</v>
      </c>
      <c r="L290" s="134">
        <v>458765381.01165867</v>
      </c>
      <c r="M290" s="135">
        <v>2293826.9050582936</v>
      </c>
      <c r="N290" s="135">
        <v>2682689.1715169335</v>
      </c>
      <c r="O290" s="136">
        <v>156.61154904140324</v>
      </c>
      <c r="P290" s="135">
        <v>458765381.01165867</v>
      </c>
      <c r="Q290" s="135">
        <v>2293826.9050582936</v>
      </c>
      <c r="R290" s="135">
        <v>2682689.1715169335</v>
      </c>
      <c r="S290" s="133">
        <v>156.61154904140324</v>
      </c>
      <c r="T290" s="134">
        <v>746789000.25282097</v>
      </c>
      <c r="U290" s="171"/>
      <c r="V290" s="137">
        <v>1</v>
      </c>
      <c r="W290" s="138">
        <v>1</v>
      </c>
      <c r="X290" s="138">
        <v>1</v>
      </c>
      <c r="Y290" s="138">
        <v>2</v>
      </c>
      <c r="Z290" s="138">
        <v>2</v>
      </c>
      <c r="AA290" s="139">
        <v>1</v>
      </c>
      <c r="AB290" s="138">
        <v>2</v>
      </c>
      <c r="AC290" s="138">
        <v>2</v>
      </c>
      <c r="AD290" s="138">
        <v>3</v>
      </c>
      <c r="AE290" s="138">
        <v>4</v>
      </c>
      <c r="AF290" s="137">
        <v>1</v>
      </c>
      <c r="AG290" s="138">
        <v>1</v>
      </c>
      <c r="AH290" s="138">
        <v>1</v>
      </c>
      <c r="AI290" s="138">
        <v>2</v>
      </c>
      <c r="AJ290" s="138">
        <v>2</v>
      </c>
      <c r="AK290" s="93">
        <f t="shared" si="26"/>
        <v>82.09950453943172</v>
      </c>
      <c r="AM290" s="173"/>
      <c r="AN290" s="174"/>
      <c r="AO290" s="138" t="s">
        <v>49</v>
      </c>
      <c r="AP290" s="138">
        <f t="shared" si="30"/>
        <v>0.49</v>
      </c>
      <c r="AQ290" s="140">
        <f>IF(head!F$82="S235",235,IF(head!F$82="S275",275,IF(head!F$82="S355",355,IF(head!F$82="S420",420,460))))^0.5*head!$G$70*1000/(S290*3.1416*210000^0.5)</f>
        <v>0.8356604640115225</v>
      </c>
      <c r="AR290" s="140">
        <f t="shared" si="27"/>
        <v>1.0049010192387995</v>
      </c>
      <c r="AS290" s="140">
        <f t="shared" si="28"/>
        <v>0.63978676691776559</v>
      </c>
      <c r="AT290" s="141">
        <f>IF(head!F$82="S235",235,IF(head!F$82="S275",275,IF(head!F$82="S355",355,IF(head!F$82="S420",420,460))))*AS290*J290/1000</f>
        <v>4248.2168174526032</v>
      </c>
      <c r="AU290" s="199" t="s">
        <v>47</v>
      </c>
      <c r="AV290" s="142" t="s">
        <v>47</v>
      </c>
      <c r="AW290" s="142" t="s">
        <v>47</v>
      </c>
      <c r="AX290" s="143" t="s">
        <v>47</v>
      </c>
      <c r="AY290" s="135" t="s">
        <v>47</v>
      </c>
      <c r="AZ290" s="200">
        <v>0</v>
      </c>
      <c r="BA290" s="144" t="str">
        <f t="shared" si="29"/>
        <v>CF SHS 400 x 16</v>
      </c>
    </row>
    <row r="291" spans="1:53" s="146" customFormat="1">
      <c r="A291" s="128" t="s">
        <v>170</v>
      </c>
      <c r="B291" s="83">
        <f t="shared" si="25"/>
        <v>5277.1671301678562</v>
      </c>
      <c r="C291" s="130">
        <v>400</v>
      </c>
      <c r="D291" s="130">
        <v>400</v>
      </c>
      <c r="E291" s="131">
        <v>16</v>
      </c>
      <c r="F291" s="130"/>
      <c r="G291" s="130"/>
      <c r="H291" s="132">
        <v>184.29632298327024</v>
      </c>
      <c r="I291" s="133">
        <v>187.81790877275949</v>
      </c>
      <c r="J291" s="133">
        <v>23477.238596594936</v>
      </c>
      <c r="K291" s="133">
        <v>1.51759289474462</v>
      </c>
      <c r="L291" s="134">
        <v>561536121.71476305</v>
      </c>
      <c r="M291" s="135">
        <v>2807680.6085738153</v>
      </c>
      <c r="N291" s="135">
        <v>3322097.6000157637</v>
      </c>
      <c r="O291" s="136">
        <v>154.65549033884673</v>
      </c>
      <c r="P291" s="135">
        <v>561536121.71476305</v>
      </c>
      <c r="Q291" s="135">
        <v>2807680.6085738153</v>
      </c>
      <c r="R291" s="135">
        <v>3322097.6000157637</v>
      </c>
      <c r="S291" s="133">
        <v>154.65549033884673</v>
      </c>
      <c r="T291" s="134">
        <v>933912054.38479805</v>
      </c>
      <c r="U291" s="171"/>
      <c r="V291" s="137">
        <v>1</v>
      </c>
      <c r="W291" s="138">
        <v>1</v>
      </c>
      <c r="X291" s="138">
        <v>1</v>
      </c>
      <c r="Y291" s="138">
        <v>1</v>
      </c>
      <c r="Z291" s="138">
        <v>1</v>
      </c>
      <c r="AA291" s="139">
        <v>1</v>
      </c>
      <c r="AB291" s="138">
        <v>1</v>
      </c>
      <c r="AC291" s="138">
        <v>1</v>
      </c>
      <c r="AD291" s="138">
        <v>1</v>
      </c>
      <c r="AE291" s="138">
        <v>1</v>
      </c>
      <c r="AF291" s="137">
        <v>1</v>
      </c>
      <c r="AG291" s="138">
        <v>1</v>
      </c>
      <c r="AH291" s="138">
        <v>1</v>
      </c>
      <c r="AI291" s="138">
        <v>1</v>
      </c>
      <c r="AJ291" s="138">
        <v>1</v>
      </c>
      <c r="AK291" s="93">
        <f t="shared" si="26"/>
        <v>64.64103043893445</v>
      </c>
      <c r="AM291" s="173"/>
      <c r="AN291" s="174"/>
      <c r="AO291" s="138" t="s">
        <v>49</v>
      </c>
      <c r="AP291" s="138">
        <f t="shared" si="30"/>
        <v>0.49</v>
      </c>
      <c r="AQ291" s="140">
        <f>IF(head!F$82="S235",235,IF(head!F$82="S275",275,IF(head!F$82="S355",355,IF(head!F$82="S420",420,460))))^0.5*head!$G$70*1000/(S291*3.1416*210000^0.5)</f>
        <v>0.84622976820777696</v>
      </c>
      <c r="AR291" s="140">
        <f t="shared" si="27"/>
        <v>1.0163787035113994</v>
      </c>
      <c r="AS291" s="140">
        <f t="shared" si="28"/>
        <v>0.63317751193087946</v>
      </c>
      <c r="AT291" s="141">
        <f>IF(head!F$82="S235",235,IF(head!F$82="S275",275,IF(head!F$82="S355",355,IF(head!F$82="S420",420,460))))*AS291*J291/1000</f>
        <v>5277.1671301678562</v>
      </c>
      <c r="AU291" s="199" t="s">
        <v>47</v>
      </c>
      <c r="AV291" s="142" t="s">
        <v>47</v>
      </c>
      <c r="AW291" s="142" t="s">
        <v>47</v>
      </c>
      <c r="AX291" s="143" t="s">
        <v>47</v>
      </c>
      <c r="AY291" s="135" t="s">
        <v>47</v>
      </c>
      <c r="AZ291" s="200">
        <v>0</v>
      </c>
      <c r="BA291" s="144" t="s">
        <v>153</v>
      </c>
    </row>
    <row r="292" spans="1:53">
      <c r="A292" s="98" t="s">
        <v>47</v>
      </c>
      <c r="B292" s="62">
        <v>0</v>
      </c>
      <c r="C292" s="99"/>
      <c r="D292" s="99"/>
      <c r="E292" s="126"/>
      <c r="F292" s="99"/>
      <c r="G292" s="99"/>
      <c r="H292" s="100"/>
      <c r="I292" s="101"/>
      <c r="J292" s="101"/>
      <c r="K292" s="101"/>
      <c r="L292" s="102"/>
      <c r="M292" s="101"/>
      <c r="N292" s="101"/>
      <c r="O292" s="103"/>
      <c r="P292" s="101"/>
      <c r="Q292" s="101"/>
      <c r="R292" s="101"/>
      <c r="S292" s="101"/>
      <c r="T292" s="102"/>
      <c r="U292" s="104"/>
      <c r="V292" s="70"/>
      <c r="W292" s="70"/>
      <c r="X292" s="70"/>
      <c r="Y292" s="70"/>
      <c r="Z292" s="70"/>
      <c r="AA292" s="71"/>
      <c r="AB292" s="70"/>
      <c r="AC292" s="70"/>
      <c r="AD292" s="70"/>
      <c r="AE292" s="70"/>
      <c r="AF292" s="69"/>
      <c r="AG292" s="70"/>
      <c r="AH292" s="70"/>
      <c r="AI292" s="70"/>
      <c r="AJ292" s="70"/>
      <c r="AK292" s="78"/>
      <c r="AL292" s="79"/>
      <c r="AM292" s="80"/>
      <c r="AN292" s="81"/>
      <c r="AO292" s="70"/>
      <c r="AP292" s="70"/>
      <c r="AQ292" s="72" t="s">
        <v>47</v>
      </c>
      <c r="AR292" s="72"/>
      <c r="AS292" s="72"/>
      <c r="AT292" s="52" t="s">
        <v>47</v>
      </c>
      <c r="AU292" s="211"/>
      <c r="AV292" s="166"/>
      <c r="AW292" s="166"/>
      <c r="AX292" s="163"/>
      <c r="AY292" s="166"/>
      <c r="AZ292" s="212"/>
      <c r="BA292" s="169" t="str">
        <f>A293</f>
        <v>HD 260 x 54,1</v>
      </c>
    </row>
    <row r="293" spans="1:53">
      <c r="A293" s="98" t="s">
        <v>834</v>
      </c>
      <c r="B293" s="62">
        <f>C293/D293</f>
        <v>0.93846153846153846</v>
      </c>
      <c r="C293" s="99">
        <v>244</v>
      </c>
      <c r="D293" s="99">
        <v>260</v>
      </c>
      <c r="E293" s="126">
        <v>6.5</v>
      </c>
      <c r="F293" s="99">
        <v>9.5</v>
      </c>
      <c r="G293" s="99">
        <v>24</v>
      </c>
      <c r="H293" s="100">
        <v>54.14099965752839</v>
      </c>
      <c r="I293" s="101">
        <v>55.175541052258232</v>
      </c>
      <c r="J293" s="101">
        <v>6896.9426315322789</v>
      </c>
      <c r="K293" s="101">
        <v>1.47379644737231</v>
      </c>
      <c r="L293" s="102">
        <v>79805655.581425995</v>
      </c>
      <c r="M293" s="101">
        <v>654144.71788054099</v>
      </c>
      <c r="N293" s="101">
        <v>714454.79789060669</v>
      </c>
      <c r="O293" s="103">
        <v>107.56934594729421</v>
      </c>
      <c r="P293" s="101">
        <v>27880490.1809345</v>
      </c>
      <c r="Q293" s="101">
        <v>214465.30908411153</v>
      </c>
      <c r="R293" s="101">
        <v>327734.12420925457</v>
      </c>
      <c r="S293" s="101">
        <v>63.580200882591221</v>
      </c>
      <c r="T293" s="102">
        <v>273889.38004630298</v>
      </c>
      <c r="U293" s="104">
        <v>374187682761.112</v>
      </c>
      <c r="V293" s="70">
        <v>3</v>
      </c>
      <c r="W293" s="70">
        <v>3</v>
      </c>
      <c r="X293" s="70">
        <v>3</v>
      </c>
      <c r="Y293" s="70">
        <v>4</v>
      </c>
      <c r="Z293" s="70">
        <v>4</v>
      </c>
      <c r="AA293" s="71">
        <v>3</v>
      </c>
      <c r="AB293" s="70">
        <v>3</v>
      </c>
      <c r="AC293" s="70">
        <v>4</v>
      </c>
      <c r="AD293" s="70">
        <v>4</v>
      </c>
      <c r="AE293" s="70">
        <v>4</v>
      </c>
      <c r="AF293" s="69">
        <v>3</v>
      </c>
      <c r="AG293" s="70">
        <v>3</v>
      </c>
      <c r="AH293" s="70">
        <v>3</v>
      </c>
      <c r="AI293" s="70">
        <v>4</v>
      </c>
      <c r="AJ293" s="70">
        <v>4</v>
      </c>
      <c r="AK293" s="78">
        <v>213.688372676065</v>
      </c>
      <c r="AL293" s="79">
        <v>175.99050945022049</v>
      </c>
      <c r="AM293" s="80">
        <v>146.15171589096641</v>
      </c>
      <c r="AN293" s="81">
        <v>108.45385266512191</v>
      </c>
      <c r="AO293" s="70" t="str">
        <f>IF(head!$F$82="S460","a","c")</f>
        <v>c</v>
      </c>
      <c r="AP293" s="70">
        <f t="shared" si="30"/>
        <v>0.49</v>
      </c>
      <c r="AQ293" s="72">
        <f>IF(head!F$82="S235",235,IF(head!F$82="S275",275,IF(head!F$82="S355",355,IF(head!F$82="S420",420,460))))^0.5*head!$G$70*1000/(S293*3.1416*210000^0.5)</f>
        <v>2.0584093463809228</v>
      </c>
      <c r="AR293" s="72">
        <f>0.5*(1+AP293*(AQ293-0.2)+AQ293^2)</f>
        <v>3.0738348084974949</v>
      </c>
      <c r="AS293" s="72">
        <f>IF(AQ293&lt;=0.2,1,1/(AR293+(AR293^2-AQ293^2)^0.5))</f>
        <v>0.18668257298824023</v>
      </c>
      <c r="AT293" s="52">
        <f>IF(head!F$82="S235",235,IF(head!F$82="S275",275,IF(head!F$82="S355",355,IF(head!F$82="S420",420,460))))*AS293*J293/1000</f>
        <v>457.07634365338919</v>
      </c>
      <c r="AU293" s="194">
        <f>(210000*U293/(81000*T293))^0.5</f>
        <v>1882.0202207060584</v>
      </c>
      <c r="AV293" s="166">
        <f>3.1416*1.13*head!$G$66/(1.4*head!$G$67)*((1+3.1416^2*AU293^2/(1.4*head!$G$67*1000)^2*(0.45^2+1))^0.5+3.1416*0.45*database!AU293/(1.4*head!$G$67*1000))</f>
        <v>44.026620272397395</v>
      </c>
      <c r="AW293" s="166">
        <f>AV293/(head!$G$66*1000)*(210000*database!P293*81000*database!T293)^0.5</f>
        <v>1586738296.4461982</v>
      </c>
      <c r="AX293" s="163">
        <f>IF(head!$F$82="S235",database!AF293,(IF(head!$F$82="S275",database!AG293,IF(head!$F$82="S355",database!AH293,IF(head!$F$82="S420",database!AI293,database!AJ293)))))</f>
        <v>3</v>
      </c>
      <c r="AY293" s="166">
        <f>IF(AX293&lt;=2,N293,M293)</f>
        <v>654144.71788054099</v>
      </c>
      <c r="AZ293" s="212">
        <f>(AY293*VLOOKUP(head!$F$82,head!$L$1:$M$5,2)/AW293)^0.5</f>
        <v>0.38255901812681381</v>
      </c>
      <c r="BA293" s="169" t="str">
        <f>A294</f>
        <v>HD 260 x 68,2</v>
      </c>
    </row>
    <row r="294" spans="1:53">
      <c r="A294" s="98" t="s">
        <v>835</v>
      </c>
      <c r="B294" s="62">
        <f t="shared" ref="B294:B334" si="31">C294/D294</f>
        <v>0.96153846153846156</v>
      </c>
      <c r="C294" s="99">
        <v>250</v>
      </c>
      <c r="D294" s="99">
        <v>260</v>
      </c>
      <c r="E294" s="126">
        <v>7.5</v>
      </c>
      <c r="F294" s="99">
        <v>12.5</v>
      </c>
      <c r="G294" s="99">
        <v>24</v>
      </c>
      <c r="H294" s="100">
        <v>68.153249657528406</v>
      </c>
      <c r="I294" s="101">
        <v>69.455541052258241</v>
      </c>
      <c r="J294" s="101">
        <v>8681.9426315322798</v>
      </c>
      <c r="K294" s="101">
        <v>1.48379644737231</v>
      </c>
      <c r="L294" s="102">
        <v>104549554.33142599</v>
      </c>
      <c r="M294" s="101">
        <v>836396.434651408</v>
      </c>
      <c r="N294" s="101">
        <v>919771.04789060669</v>
      </c>
      <c r="O294" s="103">
        <v>109.73688725516251</v>
      </c>
      <c r="P294" s="101">
        <v>36675632.290801637</v>
      </c>
      <c r="Q294" s="101">
        <v>282120.24839078181</v>
      </c>
      <c r="R294" s="101">
        <v>430168.84552502073</v>
      </c>
      <c r="S294" s="101">
        <v>64.995060003779187</v>
      </c>
      <c r="T294" s="102">
        <v>520318.92016946204</v>
      </c>
      <c r="U294" s="104">
        <v>504968898475.961</v>
      </c>
      <c r="V294" s="70">
        <v>1</v>
      </c>
      <c r="W294" s="70">
        <v>1</v>
      </c>
      <c r="X294" s="70">
        <v>3</v>
      </c>
      <c r="Y294" s="70">
        <v>3</v>
      </c>
      <c r="Z294" s="70">
        <v>3</v>
      </c>
      <c r="AA294" s="71">
        <v>2</v>
      </c>
      <c r="AB294" s="70">
        <v>3</v>
      </c>
      <c r="AC294" s="70">
        <v>3</v>
      </c>
      <c r="AD294" s="70">
        <v>3</v>
      </c>
      <c r="AE294" s="70">
        <v>3</v>
      </c>
      <c r="AF294" s="69">
        <v>1</v>
      </c>
      <c r="AG294" s="70">
        <v>1</v>
      </c>
      <c r="AH294" s="70">
        <v>3</v>
      </c>
      <c r="AI294" s="70">
        <v>3</v>
      </c>
      <c r="AJ294" s="70">
        <v>3</v>
      </c>
      <c r="AK294" s="78">
        <v>170.90604146395219</v>
      </c>
      <c r="AL294" s="79">
        <v>140.95882676390383</v>
      </c>
      <c r="AM294" s="80">
        <v>117.4852269001897</v>
      </c>
      <c r="AN294" s="81">
        <v>87.538012200141353</v>
      </c>
      <c r="AO294" s="70" t="str">
        <f>IF(head!$F$82="S460","a","c")</f>
        <v>c</v>
      </c>
      <c r="AP294" s="70">
        <f t="shared" si="30"/>
        <v>0.49</v>
      </c>
      <c r="AQ294" s="72">
        <f>IF(head!F$82="S235",235,IF(head!F$82="S275",275,IF(head!F$82="S355",355,IF(head!F$82="S420",420,460))))^0.5*head!$G$70*1000/(S294*3.1416*210000^0.5)</f>
        <v>2.0136004141528998</v>
      </c>
      <c r="AR294" s="72">
        <f t="shared" ref="AR294:AR334" si="32">0.5*(1+AP294*(AQ294-0.2)+AQ294^2)</f>
        <v>2.9716254154058253</v>
      </c>
      <c r="AS294" s="72">
        <f t="shared" ref="AS294:AS334" si="33">IF(AQ294&lt;=0.2,1,1/(AR294+(AR294^2-AQ294^2)^0.5))</f>
        <v>0.19391025176196158</v>
      </c>
      <c r="AT294" s="52">
        <f>IF(head!F$82="S235",235,IF(head!F$82="S275",275,IF(head!F$82="S355",355,IF(head!F$82="S420",420,460))))*AS294*J294/1000</f>
        <v>597.64877691948277</v>
      </c>
      <c r="AU294" s="194">
        <f t="shared" ref="AU294:AU334" si="34">(210000*U294/(81000*T294))^0.5</f>
        <v>1586.224465195128</v>
      </c>
      <c r="AV294" s="166">
        <f>3.1416*1.13*head!$G$66/(1.4*head!$G$67)*((1+3.1416^2*AU294^2/(1.4*head!$G$67*1000)^2*(0.45^2+1))^0.5+3.1416*0.45*database!AU294/(1.4*head!$G$67*1000))</f>
        <v>37.957271181582307</v>
      </c>
      <c r="AW294" s="166">
        <f>AV294/(head!$G$66*1000)*(210000*database!P294*81000*database!T294)^0.5</f>
        <v>2162572885.7116294</v>
      </c>
      <c r="AX294" s="163">
        <f>IF(head!$F$82="S235",database!AF294,(IF(head!$F$82="S275",database!AG294,IF(head!$F$82="S355",database!AH294,IF(head!$F$82="S420",database!AI294,database!AJ294)))))</f>
        <v>3</v>
      </c>
      <c r="AY294" s="166">
        <f t="shared" ref="AY294:AY334" si="35">IF(AX294&lt;=2,N294,M294)</f>
        <v>836396.434651408</v>
      </c>
      <c r="AZ294" s="212">
        <f>(AY294*VLOOKUP(head!$F$82,head!$L$1:$M$5,2)/AW294)^0.5</f>
        <v>0.3705398199943758</v>
      </c>
      <c r="BA294" s="169" t="str">
        <f t="shared" ref="BA294:BA333" si="36">A295</f>
        <v>HD 260 x 93</v>
      </c>
    </row>
    <row r="295" spans="1:53">
      <c r="A295" s="98" t="s">
        <v>836</v>
      </c>
      <c r="B295" s="62">
        <f t="shared" si="31"/>
        <v>1</v>
      </c>
      <c r="C295" s="99">
        <v>260</v>
      </c>
      <c r="D295" s="99">
        <v>260</v>
      </c>
      <c r="E295" s="126">
        <v>10</v>
      </c>
      <c r="F295" s="99">
        <v>17.5</v>
      </c>
      <c r="G295" s="99">
        <v>24</v>
      </c>
      <c r="H295" s="100">
        <v>92.978874657528394</v>
      </c>
      <c r="I295" s="101">
        <v>94.755541052258238</v>
      </c>
      <c r="J295" s="101">
        <v>11844.44263153228</v>
      </c>
      <c r="K295" s="101">
        <v>1.4987964473723101</v>
      </c>
      <c r="L295" s="102">
        <v>149194267.87309265</v>
      </c>
      <c r="M295" s="101">
        <v>1147648.2144084051</v>
      </c>
      <c r="N295" s="101">
        <v>1282911.6728906066</v>
      </c>
      <c r="O295" s="103">
        <v>112.23253034034182</v>
      </c>
      <c r="P295" s="101">
        <v>51345173.325392626</v>
      </c>
      <c r="Q295" s="101">
        <v>394962.87173378945</v>
      </c>
      <c r="R295" s="101">
        <v>602247.83631443605</v>
      </c>
      <c r="S295" s="101">
        <v>65.840405616969463</v>
      </c>
      <c r="T295" s="102">
        <v>1257549.6231478001</v>
      </c>
      <c r="U295" s="104">
        <v>736263734656.45898</v>
      </c>
      <c r="V295" s="70">
        <v>1</v>
      </c>
      <c r="W295" s="70">
        <v>1</v>
      </c>
      <c r="X295" s="70">
        <v>1</v>
      </c>
      <c r="Y295" s="70">
        <v>1</v>
      </c>
      <c r="Z295" s="70">
        <v>1</v>
      </c>
      <c r="AA295" s="71">
        <v>1</v>
      </c>
      <c r="AB295" s="70">
        <v>1</v>
      </c>
      <c r="AC295" s="70">
        <v>1</v>
      </c>
      <c r="AD295" s="70">
        <v>2</v>
      </c>
      <c r="AE295" s="70">
        <v>2</v>
      </c>
      <c r="AF295" s="69">
        <v>1</v>
      </c>
      <c r="AG295" s="70">
        <v>1</v>
      </c>
      <c r="AH295" s="70">
        <v>1</v>
      </c>
      <c r="AI295" s="70">
        <v>1</v>
      </c>
      <c r="AJ295" s="70">
        <v>1</v>
      </c>
      <c r="AK295" s="78">
        <v>126.54005713888246</v>
      </c>
      <c r="AL295" s="79">
        <v>104.58883426683039</v>
      </c>
      <c r="AM295" s="80">
        <v>87.804891488208284</v>
      </c>
      <c r="AN295" s="81">
        <v>65.853668616156213</v>
      </c>
      <c r="AO295" s="70" t="str">
        <f>IF(head!$F$82="S460","a","c")</f>
        <v>c</v>
      </c>
      <c r="AP295" s="70">
        <f t="shared" si="30"/>
        <v>0.49</v>
      </c>
      <c r="AQ295" s="72">
        <f>IF(head!F$82="S235",235,IF(head!F$82="S275",275,IF(head!F$82="S355",355,IF(head!F$82="S420",420,460))))^0.5*head!$G$70*1000/(S295*3.1416*210000^0.5)</f>
        <v>1.9877471670340281</v>
      </c>
      <c r="AR295" s="72">
        <f t="shared" si="32"/>
        <v>2.9135674559492388</v>
      </c>
      <c r="AS295" s="72">
        <f t="shared" si="33"/>
        <v>0.19826463669629862</v>
      </c>
      <c r="AT295" s="52">
        <f>IF(head!F$82="S235",235,IF(head!F$82="S275",275,IF(head!F$82="S355",355,IF(head!F$82="S420",420,460))))*AS295*J295/1000</f>
        <v>833.65861089986902</v>
      </c>
      <c r="AU295" s="194">
        <f t="shared" si="34"/>
        <v>1232.0299826572057</v>
      </c>
      <c r="AV295" s="166">
        <f>3.1416*1.13*head!$G$66/(1.4*head!$G$67)*((1+3.1416^2*AU295^2/(1.4*head!$G$67*1000)^2*(0.45^2+1))^0.5+3.1416*0.45*database!AU295/(1.4*head!$G$67*1000))</f>
        <v>30.910910645820124</v>
      </c>
      <c r="AW295" s="166">
        <f>AV295/(head!$G$66*1000)*(210000*database!P295*81000*database!T295)^0.5</f>
        <v>3239487692.7695165</v>
      </c>
      <c r="AX295" s="163">
        <f>IF(head!$F$82="S235",database!AF295,(IF(head!$F$82="S275",database!AG295,IF(head!$F$82="S355",database!AH295,IF(head!$F$82="S420",database!AI295,database!AJ295)))))</f>
        <v>1</v>
      </c>
      <c r="AY295" s="166">
        <f t="shared" si="35"/>
        <v>1282911.6728906066</v>
      </c>
      <c r="AZ295" s="212">
        <f>(AY295*VLOOKUP(head!$F$82,head!$L$1:$M$5,2)/AW295)^0.5</f>
        <v>0.37495088905237017</v>
      </c>
      <c r="BA295" s="169" t="str">
        <f t="shared" si="36"/>
        <v>HD 260 x 114</v>
      </c>
    </row>
    <row r="296" spans="1:53">
      <c r="A296" s="98" t="s">
        <v>837</v>
      </c>
      <c r="B296" s="62">
        <f t="shared" si="31"/>
        <v>1.0229007633587786</v>
      </c>
      <c r="C296" s="99">
        <v>268</v>
      </c>
      <c r="D296" s="99">
        <v>262</v>
      </c>
      <c r="E296" s="126">
        <v>12.5</v>
      </c>
      <c r="F296" s="99">
        <v>21.5</v>
      </c>
      <c r="G296" s="99">
        <v>24</v>
      </c>
      <c r="H296" s="100">
        <v>114.3975996575284</v>
      </c>
      <c r="I296" s="101">
        <v>116.58354105225824</v>
      </c>
      <c r="J296" s="101">
        <v>14572.94263153228</v>
      </c>
      <c r="K296" s="101">
        <v>1.51779644737231</v>
      </c>
      <c r="L296" s="102">
        <v>189121709.24809265</v>
      </c>
      <c r="M296" s="101">
        <v>1411356.0391648705</v>
      </c>
      <c r="N296" s="101">
        <v>1599711.7978906066</v>
      </c>
      <c r="O296" s="103">
        <v>113.91923621551987</v>
      </c>
      <c r="P296" s="101">
        <v>64558566.076540485</v>
      </c>
      <c r="Q296" s="101">
        <v>492813.48150030902</v>
      </c>
      <c r="R296" s="101">
        <v>752452.95210385136</v>
      </c>
      <c r="S296" s="101">
        <v>66.558466942649147</v>
      </c>
      <c r="T296" s="102">
        <v>2246211.4267678298</v>
      </c>
      <c r="U296" s="104">
        <v>955183350832.75696</v>
      </c>
      <c r="V296" s="70">
        <v>1</v>
      </c>
      <c r="W296" s="70">
        <v>1</v>
      </c>
      <c r="X296" s="70">
        <v>1</v>
      </c>
      <c r="Y296" s="70">
        <v>1</v>
      </c>
      <c r="Z296" s="70">
        <v>1</v>
      </c>
      <c r="AA296" s="71">
        <v>1</v>
      </c>
      <c r="AB296" s="70">
        <v>1</v>
      </c>
      <c r="AC296" s="70">
        <v>1</v>
      </c>
      <c r="AD296" s="70">
        <v>1</v>
      </c>
      <c r="AE296" s="70">
        <v>1</v>
      </c>
      <c r="AF296" s="69">
        <v>1</v>
      </c>
      <c r="AG296" s="70">
        <v>1</v>
      </c>
      <c r="AH296" s="70">
        <v>1</v>
      </c>
      <c r="AI296" s="70">
        <v>1</v>
      </c>
      <c r="AJ296" s="70">
        <v>1</v>
      </c>
      <c r="AK296" s="78">
        <v>104.15167929695751</v>
      </c>
      <c r="AL296" s="79">
        <v>86.173155218155728</v>
      </c>
      <c r="AM296" s="80">
        <v>72.737540166144584</v>
      </c>
      <c r="AN296" s="81">
        <v>54.759016087342815</v>
      </c>
      <c r="AO296" s="70" t="str">
        <f>IF(head!$F$82="S460","a","c")</f>
        <v>c</v>
      </c>
      <c r="AP296" s="70">
        <f t="shared" si="30"/>
        <v>0.49</v>
      </c>
      <c r="AQ296" s="72">
        <f>IF(head!F$82="S235",235,IF(head!F$82="S275",275,IF(head!F$82="S355",355,IF(head!F$82="S420",420,460))))^0.5*head!$G$70*1000/(S296*3.1416*210000^0.5)</f>
        <v>1.9663024969350853</v>
      </c>
      <c r="AR296" s="72">
        <f t="shared" si="32"/>
        <v>2.8659168664756716</v>
      </c>
      <c r="AS296" s="72">
        <f t="shared" si="33"/>
        <v>0.20198368018449306</v>
      </c>
      <c r="AT296" s="52">
        <f>IF(head!F$82="S235",235,IF(head!F$82="S275",275,IF(head!F$82="S355",355,IF(head!F$82="S420",420,460))))*AS296*J296/1000</f>
        <v>1044.9412872612052</v>
      </c>
      <c r="AU296" s="194">
        <f t="shared" si="34"/>
        <v>1049.9900746535177</v>
      </c>
      <c r="AV296" s="166">
        <f>3.1416*1.13*head!$G$66/(1.4*head!$G$67)*((1+3.1416^2*AU296^2/(1.4*head!$G$67*1000)^2*(0.45^2+1))^0.5+3.1416*0.45*database!AU296/(1.4*head!$G$67*1000))</f>
        <v>27.434330092420812</v>
      </c>
      <c r="AW296" s="166">
        <f>AV296/(head!$G$66*1000)*(210000*database!P296*81000*database!T296)^0.5</f>
        <v>4308724940.1184263</v>
      </c>
      <c r="AX296" s="163">
        <f>IF(head!$F$82="S235",database!AF296,(IF(head!$F$82="S275",database!AG296,IF(head!$F$82="S355",database!AH296,IF(head!$F$82="S420",database!AI296,database!AJ296)))))</f>
        <v>1</v>
      </c>
      <c r="AY296" s="166">
        <f t="shared" si="35"/>
        <v>1599711.7978906066</v>
      </c>
      <c r="AZ296" s="212">
        <f>(AY296*VLOOKUP(head!$F$82,head!$L$1:$M$5,2)/AW296)^0.5</f>
        <v>0.36304517159783317</v>
      </c>
      <c r="BA296" s="169" t="str">
        <f t="shared" si="36"/>
        <v>HD 260 x 142</v>
      </c>
    </row>
    <row r="297" spans="1:53">
      <c r="A297" s="98" t="s">
        <v>838</v>
      </c>
      <c r="B297" s="62">
        <f t="shared" si="31"/>
        <v>1.0490566037735849</v>
      </c>
      <c r="C297" s="99">
        <v>278</v>
      </c>
      <c r="D297" s="99">
        <v>265</v>
      </c>
      <c r="E297" s="126">
        <v>15.5</v>
      </c>
      <c r="F297" s="99">
        <v>26.5</v>
      </c>
      <c r="G297" s="99">
        <v>24</v>
      </c>
      <c r="H297" s="100">
        <v>141.51149965752836</v>
      </c>
      <c r="I297" s="101">
        <v>144.21554105225823</v>
      </c>
      <c r="J297" s="101">
        <v>18026.942631532278</v>
      </c>
      <c r="K297" s="101">
        <v>1.54379644737231</v>
      </c>
      <c r="L297" s="102">
        <v>243314900.58142599</v>
      </c>
      <c r="M297" s="101">
        <v>1750466.9106577409</v>
      </c>
      <c r="N297" s="101">
        <v>2015304.7978906066</v>
      </c>
      <c r="O297" s="103">
        <v>116.17784451920602</v>
      </c>
      <c r="P297" s="101">
        <v>82357337.887106314</v>
      </c>
      <c r="Q297" s="101">
        <v>621564.81424231175</v>
      </c>
      <c r="R297" s="101">
        <v>950477.86605114979</v>
      </c>
      <c r="S297" s="101">
        <v>67.591192969211576</v>
      </c>
      <c r="T297" s="102">
        <v>4085348.9923914899</v>
      </c>
      <c r="U297" s="104">
        <v>1266462708253.45</v>
      </c>
      <c r="V297" s="70">
        <v>1</v>
      </c>
      <c r="W297" s="70">
        <v>1</v>
      </c>
      <c r="X297" s="70">
        <v>1</v>
      </c>
      <c r="Y297" s="70">
        <v>1</v>
      </c>
      <c r="Z297" s="70">
        <v>1</v>
      </c>
      <c r="AA297" s="71">
        <v>1</v>
      </c>
      <c r="AB297" s="70">
        <v>1</v>
      </c>
      <c r="AC297" s="70">
        <v>1</v>
      </c>
      <c r="AD297" s="70">
        <v>1</v>
      </c>
      <c r="AE297" s="70">
        <v>1</v>
      </c>
      <c r="AF297" s="69">
        <v>1</v>
      </c>
      <c r="AG297" s="70">
        <v>1</v>
      </c>
      <c r="AH297" s="70">
        <v>1</v>
      </c>
      <c r="AI297" s="70">
        <v>1</v>
      </c>
      <c r="AJ297" s="70">
        <v>1</v>
      </c>
      <c r="AK297" s="78">
        <v>85.63828481219771</v>
      </c>
      <c r="AL297" s="79">
        <v>70.938066066481582</v>
      </c>
      <c r="AM297" s="80">
        <v>60.243160595651744</v>
      </c>
      <c r="AN297" s="81">
        <v>45.542941849935623</v>
      </c>
      <c r="AO297" s="70" t="str">
        <f>IF(head!$F$82="S460","a","c")</f>
        <v>c</v>
      </c>
      <c r="AP297" s="70">
        <f t="shared" si="30"/>
        <v>0.49</v>
      </c>
      <c r="AQ297" s="72">
        <f>IF(head!F$82="S235",235,IF(head!F$82="S275",275,IF(head!F$82="S355",355,IF(head!F$82="S420",420,460))))^0.5*head!$G$70*1000/(S297*3.1416*210000^0.5)</f>
        <v>1.936259355580789</v>
      </c>
      <c r="AR297" s="72">
        <f t="shared" si="32"/>
        <v>2.7999336881543595</v>
      </c>
      <c r="AS297" s="72">
        <f t="shared" si="33"/>
        <v>0.20736394337533179</v>
      </c>
      <c r="AT297" s="52">
        <f>IF(head!F$82="S235",235,IF(head!F$82="S275",275,IF(head!F$82="S355",355,IF(head!F$82="S420",420,460))))*AS297*J297/1000</f>
        <v>1327.038958431772</v>
      </c>
      <c r="AU297" s="194">
        <f t="shared" si="34"/>
        <v>896.49683352339071</v>
      </c>
      <c r="AV297" s="166">
        <f>3.1416*1.13*head!$G$66/(1.4*head!$G$67)*((1+3.1416^2*AU297^2/(1.4*head!$G$67*1000)^2*(0.45^2+1))^0.5+3.1416*0.45*database!AU297/(1.4*head!$G$67*1000))</f>
        <v>24.615319125271583</v>
      </c>
      <c r="AW297" s="166">
        <f>AV297/(head!$G$66*1000)*(210000*database!P297*81000*database!T297)^0.5</f>
        <v>5888753271.2809238</v>
      </c>
      <c r="AX297" s="163">
        <f>IF(head!$F$82="S235",database!AF297,(IF(head!$F$82="S275",database!AG297,IF(head!$F$82="S355",database!AH297,IF(head!$F$82="S420",database!AI297,database!AJ297)))))</f>
        <v>1</v>
      </c>
      <c r="AY297" s="166">
        <f t="shared" si="35"/>
        <v>2015304.7978906066</v>
      </c>
      <c r="AZ297" s="212">
        <f>(AY297*VLOOKUP(head!$F$82,head!$L$1:$M$5,2)/AW297)^0.5</f>
        <v>0.34855624371368754</v>
      </c>
      <c r="BA297" s="169" t="str">
        <f t="shared" si="36"/>
        <v>HD 260 x 172</v>
      </c>
    </row>
    <row r="298" spans="1:53">
      <c r="A298" s="98" t="s">
        <v>839</v>
      </c>
      <c r="B298" s="62">
        <f t="shared" si="31"/>
        <v>1.0820895522388059</v>
      </c>
      <c r="C298" s="99">
        <v>290</v>
      </c>
      <c r="D298" s="99">
        <v>268</v>
      </c>
      <c r="E298" s="126">
        <v>18</v>
      </c>
      <c r="F298" s="99">
        <v>32.5</v>
      </c>
      <c r="G298" s="99">
        <v>24</v>
      </c>
      <c r="H298" s="100">
        <v>172.42087465752837</v>
      </c>
      <c r="I298" s="101">
        <v>175.71554105225823</v>
      </c>
      <c r="J298" s="101">
        <v>21964.442631532278</v>
      </c>
      <c r="K298" s="101">
        <v>1.5747964473723099</v>
      </c>
      <c r="L298" s="102">
        <v>313068601.20642596</v>
      </c>
      <c r="M298" s="101">
        <v>2159093.8014236274</v>
      </c>
      <c r="N298" s="101">
        <v>2523611.6728906068</v>
      </c>
      <c r="O298" s="103">
        <v>119.38772123500102</v>
      </c>
      <c r="P298" s="101">
        <v>104485840.43134595</v>
      </c>
      <c r="Q298" s="101">
        <v>779745.07784586528</v>
      </c>
      <c r="R298" s="101">
        <v>1192465.6068405653</v>
      </c>
      <c r="S298" s="101">
        <v>68.971334108220802</v>
      </c>
      <c r="T298" s="102">
        <v>7223473.1209513601</v>
      </c>
      <c r="U298" s="104">
        <v>1683893859588.26</v>
      </c>
      <c r="V298" s="70">
        <v>1</v>
      </c>
      <c r="W298" s="70">
        <v>1</v>
      </c>
      <c r="X298" s="70">
        <v>1</v>
      </c>
      <c r="Y298" s="70">
        <v>1</v>
      </c>
      <c r="Z298" s="70">
        <v>1</v>
      </c>
      <c r="AA298" s="71">
        <v>1</v>
      </c>
      <c r="AB298" s="70">
        <v>1</v>
      </c>
      <c r="AC298" s="70">
        <v>1</v>
      </c>
      <c r="AD298" s="70">
        <v>1</v>
      </c>
      <c r="AE298" s="70">
        <v>1</v>
      </c>
      <c r="AF298" s="69">
        <v>1</v>
      </c>
      <c r="AG298" s="70">
        <v>1</v>
      </c>
      <c r="AH298" s="70">
        <v>1</v>
      </c>
      <c r="AI298" s="70">
        <v>1</v>
      </c>
      <c r="AJ298" s="70">
        <v>1</v>
      </c>
      <c r="AK298" s="78">
        <v>71.697537414927311</v>
      </c>
      <c r="AL298" s="79">
        <v>59.495998568899061</v>
      </c>
      <c r="AM298" s="80">
        <v>50.809393105102707</v>
      </c>
      <c r="AN298" s="81">
        <v>38.60785425907445</v>
      </c>
      <c r="AO298" s="70" t="str">
        <f>IF(head!$F$82="S460","a","c")</f>
        <v>c</v>
      </c>
      <c r="AP298" s="70">
        <f t="shared" si="30"/>
        <v>0.49</v>
      </c>
      <c r="AQ298" s="72">
        <f>IF(head!F$82="S235",235,IF(head!F$82="S275",275,IF(head!F$82="S355",355,IF(head!F$82="S420",420,460))))^0.5*head!$G$70*1000/(S298*3.1416*210000^0.5)</f>
        <v>1.8975141112415175</v>
      </c>
      <c r="AR298" s="72">
        <f t="shared" si="32"/>
        <v>2.7161708584345146</v>
      </c>
      <c r="AS298" s="72">
        <f t="shared" si="33"/>
        <v>0.2146094223622434</v>
      </c>
      <c r="AT298" s="52">
        <f>IF(head!F$82="S235",235,IF(head!F$82="S275",275,IF(head!F$82="S355",355,IF(head!F$82="S420",420,460))))*AS298*J298/1000</f>
        <v>1673.3906027099304</v>
      </c>
      <c r="AU298" s="194">
        <f t="shared" si="34"/>
        <v>777.41240092500607</v>
      </c>
      <c r="AV298" s="166">
        <f>3.1416*1.13*head!$G$66/(1.4*head!$G$67)*((1+3.1416^2*AU298^2/(1.4*head!$G$67*1000)^2*(0.45^2+1))^0.5+3.1416*0.45*database!AU298/(1.4*head!$G$67*1000))</f>
        <v>22.521183748130696</v>
      </c>
      <c r="AW298" s="166">
        <f>AV298/(head!$G$66*1000)*(210000*database!P298*81000*database!T298)^0.5</f>
        <v>8069472046.1801519</v>
      </c>
      <c r="AX298" s="163">
        <f>IF(head!$F$82="S235",database!AF298,(IF(head!$F$82="S275",database!AG298,IF(head!$F$82="S355",database!AH298,IF(head!$F$82="S420",database!AI298,database!AJ298)))))</f>
        <v>1</v>
      </c>
      <c r="AY298" s="166">
        <f t="shared" si="35"/>
        <v>2523611.6728906068</v>
      </c>
      <c r="AZ298" s="212">
        <f>(AY298*VLOOKUP(head!$F$82,head!$L$1:$M$5,2)/AW298)^0.5</f>
        <v>0.33319837873815789</v>
      </c>
      <c r="BA298" s="169" t="str">
        <f t="shared" si="36"/>
        <v>HD 260 x 225</v>
      </c>
    </row>
    <row r="299" spans="1:53">
      <c r="A299" s="98" t="s">
        <v>840</v>
      </c>
      <c r="B299" s="62">
        <f t="shared" si="31"/>
        <v>1.1402214022140222</v>
      </c>
      <c r="C299" s="99">
        <v>309</v>
      </c>
      <c r="D299" s="99">
        <v>271</v>
      </c>
      <c r="E299" s="126">
        <v>24</v>
      </c>
      <c r="F299" s="99">
        <v>42</v>
      </c>
      <c r="G299" s="99">
        <v>24</v>
      </c>
      <c r="H299" s="100">
        <v>224.96877465752837</v>
      </c>
      <c r="I299" s="101">
        <v>229.26754105225822</v>
      </c>
      <c r="J299" s="101">
        <v>28658.442631532278</v>
      </c>
      <c r="K299" s="101">
        <v>1.61279644737231</v>
      </c>
      <c r="L299" s="102">
        <v>437518879.03975934</v>
      </c>
      <c r="M299" s="101">
        <v>2831837.4047880862</v>
      </c>
      <c r="N299" s="101">
        <v>3395718.1728906068</v>
      </c>
      <c r="O299" s="103">
        <v>123.55835161923956</v>
      </c>
      <c r="P299" s="101">
        <v>139735814.38940647</v>
      </c>
      <c r="Q299" s="101">
        <v>1031260.6228000477</v>
      </c>
      <c r="R299" s="101">
        <v>1583244.9347351622</v>
      </c>
      <c r="S299" s="101">
        <v>69.827673429454336</v>
      </c>
      <c r="T299" s="102">
        <v>15336228.063356301</v>
      </c>
      <c r="U299" s="104">
        <v>2411049805808.3901</v>
      </c>
      <c r="V299" s="70">
        <v>1</v>
      </c>
      <c r="W299" s="70">
        <v>1</v>
      </c>
      <c r="X299" s="70">
        <v>1</v>
      </c>
      <c r="Y299" s="70">
        <v>1</v>
      </c>
      <c r="Z299" s="70">
        <v>1</v>
      </c>
      <c r="AA299" s="71">
        <v>1</v>
      </c>
      <c r="AB299" s="70">
        <v>1</v>
      </c>
      <c r="AC299" s="70">
        <v>1</v>
      </c>
      <c r="AD299" s="70">
        <v>1</v>
      </c>
      <c r="AE299" s="70">
        <v>1</v>
      </c>
      <c r="AF299" s="69">
        <v>1</v>
      </c>
      <c r="AG299" s="70">
        <v>1</v>
      </c>
      <c r="AH299" s="70">
        <v>1</v>
      </c>
      <c r="AI299" s="70">
        <v>1</v>
      </c>
      <c r="AJ299" s="70">
        <v>1</v>
      </c>
      <c r="AK299" s="78">
        <v>56.276486064102599</v>
      </c>
      <c r="AL299" s="79">
        <v>46.820284850229783</v>
      </c>
      <c r="AM299" s="80">
        <v>40.476728443145632</v>
      </c>
      <c r="AN299" s="81">
        <v>31.020527229272819</v>
      </c>
      <c r="AO299" s="70" t="str">
        <f>IF(head!$F$82="S460","a","c")</f>
        <v>c</v>
      </c>
      <c r="AP299" s="70">
        <f t="shared" si="30"/>
        <v>0.49</v>
      </c>
      <c r="AQ299" s="72">
        <f>IF(head!F$82="S235",235,IF(head!F$82="S275",275,IF(head!F$82="S355",355,IF(head!F$82="S420",420,460))))^0.5*head!$G$70*1000/(S299*3.1416*210000^0.5)</f>
        <v>1.8742437391061311</v>
      </c>
      <c r="AR299" s="72">
        <f t="shared" si="32"/>
        <v>2.6665845128702674</v>
      </c>
      <c r="AS299" s="72">
        <f t="shared" si="33"/>
        <v>0.21913517991036757</v>
      </c>
      <c r="AT299" s="52">
        <f>IF(head!F$82="S235",235,IF(head!F$82="S275",275,IF(head!F$82="S355",355,IF(head!F$82="S420",420,460))))*AS299*J299/1000</f>
        <v>2229.4259086141797</v>
      </c>
      <c r="AU299" s="194">
        <f t="shared" si="34"/>
        <v>638.42656492539311</v>
      </c>
      <c r="AV299" s="166">
        <f>3.1416*1.13*head!$G$66/(1.4*head!$G$67)*((1+3.1416^2*AU299^2/(1.4*head!$G$67*1000)^2*(0.45^2+1))^0.5+3.1416*0.45*database!AU299/(1.4*head!$G$67*1000))</f>
        <v>20.209167692053093</v>
      </c>
      <c r="AW299" s="166">
        <f>AV299/(head!$G$66*1000)*(210000*database!P299*81000*database!T299)^0.5</f>
        <v>12201514173.223866</v>
      </c>
      <c r="AX299" s="163">
        <f>IF(head!$F$82="S235",database!AF299,(IF(head!$F$82="S275",database!AG299,IF(head!$F$82="S355",database!AH299,IF(head!$F$82="S420",database!AI299,database!AJ299)))))</f>
        <v>1</v>
      </c>
      <c r="AY299" s="166">
        <f t="shared" si="35"/>
        <v>3395718.1728906068</v>
      </c>
      <c r="AZ299" s="212">
        <f>(AY299*VLOOKUP(head!$F$82,head!$L$1:$M$5,2)/AW299)^0.5</f>
        <v>0.31432080755294806</v>
      </c>
      <c r="BA299" s="169" t="str">
        <f t="shared" si="36"/>
        <v>HD 260 x 299</v>
      </c>
    </row>
    <row r="300" spans="1:53">
      <c r="A300" s="98" t="s">
        <v>841</v>
      </c>
      <c r="B300" s="62">
        <f t="shared" si="31"/>
        <v>1.2050359712230216</v>
      </c>
      <c r="C300" s="99">
        <v>335</v>
      </c>
      <c r="D300" s="99">
        <v>278</v>
      </c>
      <c r="E300" s="126">
        <v>31</v>
      </c>
      <c r="F300" s="99">
        <v>55</v>
      </c>
      <c r="G300" s="99">
        <v>24</v>
      </c>
      <c r="H300" s="100">
        <v>298.68812465752842</v>
      </c>
      <c r="I300" s="101">
        <v>304.39554105225824</v>
      </c>
      <c r="J300" s="101">
        <v>38049.442631532278</v>
      </c>
      <c r="K300" s="101">
        <v>1.67879644737231</v>
      </c>
      <c r="L300" s="102">
        <v>642188111.62309253</v>
      </c>
      <c r="M300" s="101">
        <v>3833958.8753617466</v>
      </c>
      <c r="N300" s="101">
        <v>4726517.9228906063</v>
      </c>
      <c r="O300" s="103">
        <v>129.91430701748132</v>
      </c>
      <c r="P300" s="101">
        <v>197729156.43812218</v>
      </c>
      <c r="Q300" s="101">
        <v>1422511.916821023</v>
      </c>
      <c r="R300" s="101">
        <v>2189680.7339455253</v>
      </c>
      <c r="S300" s="101">
        <v>72.087706268164112</v>
      </c>
      <c r="T300" s="102">
        <v>33820680.484007098</v>
      </c>
      <c r="U300" s="104">
        <v>3737670424176.3599</v>
      </c>
      <c r="V300" s="70">
        <v>1</v>
      </c>
      <c r="W300" s="70">
        <v>1</v>
      </c>
      <c r="X300" s="70">
        <v>1</v>
      </c>
      <c r="Y300" s="70">
        <v>1</v>
      </c>
      <c r="Z300" s="70">
        <v>1</v>
      </c>
      <c r="AA300" s="71">
        <v>1</v>
      </c>
      <c r="AB300" s="70">
        <v>1</v>
      </c>
      <c r="AC300" s="70">
        <v>1</v>
      </c>
      <c r="AD300" s="70">
        <v>1</v>
      </c>
      <c r="AE300" s="70">
        <v>1</v>
      </c>
      <c r="AF300" s="69">
        <v>1</v>
      </c>
      <c r="AG300" s="70">
        <v>1</v>
      </c>
      <c r="AH300" s="70">
        <v>1</v>
      </c>
      <c r="AI300" s="70">
        <v>1</v>
      </c>
      <c r="AJ300" s="70">
        <v>1</v>
      </c>
      <c r="AK300" s="78">
        <v>44.121446498694844</v>
      </c>
      <c r="AL300" s="79">
        <v>36.815163389842773</v>
      </c>
      <c r="AM300" s="80">
        <v>32.221234141915943</v>
      </c>
      <c r="AN300" s="81">
        <v>24.914951033063879</v>
      </c>
      <c r="AO300" s="70" t="str">
        <f>IF(head!$F$82="S460","a","c")</f>
        <v>c</v>
      </c>
      <c r="AP300" s="70">
        <f t="shared" si="30"/>
        <v>0.49</v>
      </c>
      <c r="AQ300" s="72">
        <f>IF(head!F$82="S235",235,IF(head!F$82="S275",275,IF(head!F$82="S355",355,IF(head!F$82="S420",420,460))))^0.5*head!$G$70*1000/(S300*3.1416*210000^0.5)</f>
        <v>1.8154840335001738</v>
      </c>
      <c r="AR300" s="72">
        <f t="shared" si="32"/>
        <v>2.5437847261545725</v>
      </c>
      <c r="AS300" s="72">
        <f t="shared" si="33"/>
        <v>0.23118190954439988</v>
      </c>
      <c r="AT300" s="52">
        <f>IF(head!F$82="S235",235,IF(head!F$82="S275",275,IF(head!F$82="S355",355,IF(head!F$82="S420",420,460))))*AS300*J300/1000</f>
        <v>3122.7016956534935</v>
      </c>
      <c r="AU300" s="194">
        <f t="shared" si="34"/>
        <v>535.2743948860624</v>
      </c>
      <c r="AV300" s="166">
        <f>3.1416*1.13*head!$G$66/(1.4*head!$G$67)*((1+3.1416^2*AU300^2/(1.4*head!$G$67*1000)^2*(0.45^2+1))^0.5+3.1416*0.45*database!AU300/(1.4*head!$G$67*1000))</f>
        <v>18.60770259536347</v>
      </c>
      <c r="AW300" s="166">
        <f>AV300/(head!$G$66*1000)*(210000*database!P300*81000*database!T300)^0.5</f>
        <v>19845929328.754292</v>
      </c>
      <c r="AX300" s="163">
        <f>IF(head!$F$82="S235",database!AF300,(IF(head!$F$82="S275",database!AG300,IF(head!$F$82="S355",database!AH300,IF(head!$F$82="S420",database!AI300,database!AJ300)))))</f>
        <v>1</v>
      </c>
      <c r="AY300" s="166">
        <f t="shared" si="35"/>
        <v>4726517.9228906063</v>
      </c>
      <c r="AZ300" s="212">
        <f>(AY300*VLOOKUP(head!$F$82,head!$L$1:$M$5,2)/AW300)^0.5</f>
        <v>0.29076967485068078</v>
      </c>
      <c r="BA300" s="169" t="str">
        <f t="shared" si="36"/>
        <v>HD 320 x 74,2</v>
      </c>
    </row>
    <row r="301" spans="1:53">
      <c r="A301" s="98" t="s">
        <v>842</v>
      </c>
      <c r="B301" s="62">
        <f t="shared" si="31"/>
        <v>1.0033333333333334</v>
      </c>
      <c r="C301" s="99">
        <v>301</v>
      </c>
      <c r="D301" s="99">
        <v>300</v>
      </c>
      <c r="E301" s="126">
        <v>8</v>
      </c>
      <c r="F301" s="99">
        <v>11</v>
      </c>
      <c r="G301" s="99">
        <v>27</v>
      </c>
      <c r="H301" s="100">
        <v>74.243564800934365</v>
      </c>
      <c r="I301" s="101">
        <v>75.662231644264324</v>
      </c>
      <c r="J301" s="101">
        <v>9457.7789555330401</v>
      </c>
      <c r="K301" s="101">
        <v>1.739646003293849</v>
      </c>
      <c r="L301" s="102">
        <v>164473636.12061092</v>
      </c>
      <c r="M301" s="101">
        <v>1092848.0805356207</v>
      </c>
      <c r="N301" s="101">
        <v>1196204.1324974671</v>
      </c>
      <c r="O301" s="103">
        <v>131.87229582231811</v>
      </c>
      <c r="P301" s="101">
        <v>49590908.790913157</v>
      </c>
      <c r="Q301" s="101">
        <v>330606.05860608764</v>
      </c>
      <c r="R301" s="101">
        <v>505741.14762152423</v>
      </c>
      <c r="S301" s="101">
        <v>72.411318229576267</v>
      </c>
      <c r="T301" s="102">
        <v>495178.07868928299</v>
      </c>
      <c r="U301" s="104">
        <v>1019909793982.38</v>
      </c>
      <c r="V301" s="70">
        <v>3</v>
      </c>
      <c r="W301" s="70">
        <v>3</v>
      </c>
      <c r="X301" s="70">
        <v>3</v>
      </c>
      <c r="Y301" s="70">
        <v>4</v>
      </c>
      <c r="Z301" s="70">
        <v>4</v>
      </c>
      <c r="AA301" s="71">
        <v>3</v>
      </c>
      <c r="AB301" s="70">
        <v>3</v>
      </c>
      <c r="AC301" s="70">
        <v>4</v>
      </c>
      <c r="AD301" s="70">
        <v>4</v>
      </c>
      <c r="AE301" s="70">
        <v>4</v>
      </c>
      <c r="AF301" s="69">
        <v>3</v>
      </c>
      <c r="AG301" s="70">
        <v>3</v>
      </c>
      <c r="AH301" s="70">
        <v>3</v>
      </c>
      <c r="AI301" s="70">
        <v>4</v>
      </c>
      <c r="AJ301" s="70">
        <v>4</v>
      </c>
      <c r="AK301" s="78">
        <v>183.93811184137604</v>
      </c>
      <c r="AL301" s="79">
        <v>152.21819097935457</v>
      </c>
      <c r="AM301" s="80">
        <v>127.09114958716597</v>
      </c>
      <c r="AN301" s="81">
        <v>95.371228725144519</v>
      </c>
      <c r="AO301" s="70" t="str">
        <f>IF(head!$F$82="S460","a","c")</f>
        <v>c</v>
      </c>
      <c r="AP301" s="70">
        <f t="shared" si="30"/>
        <v>0.49</v>
      </c>
      <c r="AQ301" s="72">
        <f>IF(head!F$82="S235",235,IF(head!F$82="S275",275,IF(head!F$82="S355",355,IF(head!F$82="S420",420,460))))^0.5*head!$G$70*1000/(S301*3.1416*210000^0.5)</f>
        <v>1.8073704904331804</v>
      </c>
      <c r="AR301" s="72">
        <f t="shared" si="32"/>
        <v>2.5270998150004669</v>
      </c>
      <c r="AS301" s="72">
        <f t="shared" si="33"/>
        <v>0.23291826340547386</v>
      </c>
      <c r="AT301" s="52">
        <f>IF(head!F$82="S235",235,IF(head!F$82="S275",275,IF(head!F$82="S355",355,IF(head!F$82="S420",420,460))))*AS301*J301/1000</f>
        <v>782.02575474843525</v>
      </c>
      <c r="AU301" s="194">
        <f t="shared" si="34"/>
        <v>2310.8263646339428</v>
      </c>
      <c r="AV301" s="166">
        <f>3.1416*1.13*head!$G$66/(1.4*head!$G$67)*((1+3.1416^2*AU301^2/(1.4*head!$G$67*1000)^2*(0.45^2+1))^0.5+3.1416*0.45*database!AU301/(1.4*head!$G$67*1000))</f>
        <v>53.004652740792245</v>
      </c>
      <c r="AW301" s="166">
        <f>AV301/(head!$G$66*1000)*(210000*database!P301*81000*database!T301)^0.5</f>
        <v>3425688653.1002884</v>
      </c>
      <c r="AX301" s="163">
        <f>IF(head!$F$82="S235",database!AF301,(IF(head!$F$82="S275",database!AG301,IF(head!$F$82="S355",database!AH301,IF(head!$F$82="S420",database!AI301,database!AJ301)))))</f>
        <v>3</v>
      </c>
      <c r="AY301" s="166">
        <f t="shared" si="35"/>
        <v>1092848.0805356207</v>
      </c>
      <c r="AZ301" s="212">
        <f>(AY301*VLOOKUP(head!$F$82,head!$L$1:$M$5,2)/AW301)^0.5</f>
        <v>0.3365271665084848</v>
      </c>
      <c r="BA301" s="169" t="str">
        <f t="shared" si="36"/>
        <v>HD 320 x 97,6</v>
      </c>
    </row>
    <row r="302" spans="1:53">
      <c r="A302" s="98" t="s">
        <v>843</v>
      </c>
      <c r="B302" s="62">
        <f t="shared" si="31"/>
        <v>1.0333333333333334</v>
      </c>
      <c r="C302" s="99">
        <v>310</v>
      </c>
      <c r="D302" s="99">
        <v>300</v>
      </c>
      <c r="E302" s="126">
        <v>9</v>
      </c>
      <c r="F302" s="99">
        <v>15.5</v>
      </c>
      <c r="G302" s="99">
        <v>27</v>
      </c>
      <c r="H302" s="100">
        <v>97.628714800934361</v>
      </c>
      <c r="I302" s="101">
        <v>99.494231644264332</v>
      </c>
      <c r="J302" s="101">
        <v>12436.77895553304</v>
      </c>
      <c r="K302" s="101">
        <v>1.755646003293849</v>
      </c>
      <c r="L302" s="102">
        <v>229285914.37061092</v>
      </c>
      <c r="M302" s="101">
        <v>1479263.9636813607</v>
      </c>
      <c r="N302" s="101">
        <v>1628089.3824974671</v>
      </c>
      <c r="O302" s="103">
        <v>135.77966414914602</v>
      </c>
      <c r="P302" s="101">
        <v>69852387.633273557</v>
      </c>
      <c r="Q302" s="101">
        <v>465682.58422182372</v>
      </c>
      <c r="R302" s="101">
        <v>709739.78709929076</v>
      </c>
      <c r="S302" s="101">
        <v>74.943965640628292</v>
      </c>
      <c r="T302" s="102">
        <v>1088778.6014992499</v>
      </c>
      <c r="U302" s="104">
        <v>1482525583561.53</v>
      </c>
      <c r="V302" s="70">
        <v>1</v>
      </c>
      <c r="W302" s="70">
        <v>1</v>
      </c>
      <c r="X302" s="70">
        <v>2</v>
      </c>
      <c r="Y302" s="70">
        <v>3</v>
      </c>
      <c r="Z302" s="70">
        <v>3</v>
      </c>
      <c r="AA302" s="71">
        <v>1</v>
      </c>
      <c r="AB302" s="70">
        <v>2</v>
      </c>
      <c r="AC302" s="70">
        <v>3</v>
      </c>
      <c r="AD302" s="70">
        <v>3</v>
      </c>
      <c r="AE302" s="70">
        <v>3</v>
      </c>
      <c r="AF302" s="69">
        <v>1</v>
      </c>
      <c r="AG302" s="70">
        <v>1</v>
      </c>
      <c r="AH302" s="70">
        <v>2</v>
      </c>
      <c r="AI302" s="70">
        <v>3</v>
      </c>
      <c r="AJ302" s="70">
        <v>3</v>
      </c>
      <c r="AK302" s="78">
        <v>141.16565145774936</v>
      </c>
      <c r="AL302" s="79">
        <v>117.0436500076446</v>
      </c>
      <c r="AM302" s="80">
        <v>98.096139230425919</v>
      </c>
      <c r="AN302" s="81">
        <v>73.974137780321172</v>
      </c>
      <c r="AO302" s="70" t="str">
        <f>IF(head!$F$82="S460","a","c")</f>
        <v>c</v>
      </c>
      <c r="AP302" s="70">
        <f t="shared" si="30"/>
        <v>0.49</v>
      </c>
      <c r="AQ302" s="72">
        <f>IF(head!F$82="S235",235,IF(head!F$82="S275",275,IF(head!F$82="S355",355,IF(head!F$82="S420",420,460))))^0.5*head!$G$70*1000/(S302*3.1416*210000^0.5)</f>
        <v>1.7462924282532692</v>
      </c>
      <c r="AR302" s="72">
        <f t="shared" si="32"/>
        <v>2.4036102674094009</v>
      </c>
      <c r="AS302" s="72">
        <f t="shared" si="33"/>
        <v>0.2465959231241166</v>
      </c>
      <c r="AT302" s="52">
        <f>IF(head!F$82="S235",235,IF(head!F$82="S275",275,IF(head!F$82="S355",355,IF(head!F$82="S420",420,460))))*AS302*J302/1000</f>
        <v>1088.7349404667411</v>
      </c>
      <c r="AU302" s="194">
        <f t="shared" si="34"/>
        <v>1878.8774228201801</v>
      </c>
      <c r="AV302" s="166">
        <f>3.1416*1.13*head!$G$66/(1.4*head!$G$67)*((1+3.1416^2*AU302^2/(1.4*head!$G$67*1000)^2*(0.45^2+1))^0.5+3.1416*0.45*database!AU302/(1.4*head!$G$67*1000))</f>
        <v>43.961499861869413</v>
      </c>
      <c r="AW302" s="166">
        <f>AV302/(head!$G$66*1000)*(210000*database!P302*81000*database!T302)^0.5</f>
        <v>5000173498.8510685</v>
      </c>
      <c r="AX302" s="163">
        <f>IF(head!$F$82="S235",database!AF302,(IF(head!$F$82="S275",database!AG302,IF(head!$F$82="S355",database!AH302,IF(head!$F$82="S420",database!AI302,database!AJ302)))))</f>
        <v>2</v>
      </c>
      <c r="AY302" s="166">
        <f t="shared" si="35"/>
        <v>1628089.3824974671</v>
      </c>
      <c r="AZ302" s="212">
        <f>(AY302*VLOOKUP(head!$F$82,head!$L$1:$M$5,2)/AW302)^0.5</f>
        <v>0.33998578676063773</v>
      </c>
      <c r="BA302" s="169" t="str">
        <f t="shared" si="36"/>
        <v>HD 320 x 127</v>
      </c>
    </row>
    <row r="303" spans="1:53">
      <c r="A303" s="98" t="s">
        <v>844</v>
      </c>
      <c r="B303" s="62">
        <f t="shared" si="31"/>
        <v>1.0666666666666667</v>
      </c>
      <c r="C303" s="99">
        <v>320</v>
      </c>
      <c r="D303" s="99">
        <v>300</v>
      </c>
      <c r="E303" s="126">
        <v>11.5</v>
      </c>
      <c r="F303" s="99">
        <v>20.5</v>
      </c>
      <c r="G303" s="99">
        <v>27</v>
      </c>
      <c r="H303" s="100">
        <v>126.65408980093436</v>
      </c>
      <c r="I303" s="101">
        <v>129.07423164426433</v>
      </c>
      <c r="J303" s="101">
        <v>16134.27895553304</v>
      </c>
      <c r="K303" s="101">
        <v>1.7706460032938489</v>
      </c>
      <c r="L303" s="102">
        <v>308235422.49561095</v>
      </c>
      <c r="M303" s="101">
        <v>1926471.3905975684</v>
      </c>
      <c r="N303" s="101">
        <v>2149240.0074974671</v>
      </c>
      <c r="O303" s="103">
        <v>138.21860088375288</v>
      </c>
      <c r="P303" s="101">
        <v>92388251.599389806</v>
      </c>
      <c r="Q303" s="101">
        <v>615921.6773292654</v>
      </c>
      <c r="R303" s="101">
        <v>939096.6982937071</v>
      </c>
      <c r="S303" s="101">
        <v>75.671717904705574</v>
      </c>
      <c r="T303" s="102">
        <v>2293018.4030929301</v>
      </c>
      <c r="U303" s="104">
        <v>2026116027665.8401</v>
      </c>
      <c r="V303" s="70">
        <v>1</v>
      </c>
      <c r="W303" s="70">
        <v>1</v>
      </c>
      <c r="X303" s="70">
        <v>1</v>
      </c>
      <c r="Y303" s="70">
        <v>1</v>
      </c>
      <c r="Z303" s="70">
        <v>1</v>
      </c>
      <c r="AA303" s="71">
        <v>1</v>
      </c>
      <c r="AB303" s="70">
        <v>1</v>
      </c>
      <c r="AC303" s="70">
        <v>1</v>
      </c>
      <c r="AD303" s="70">
        <v>1</v>
      </c>
      <c r="AE303" s="70">
        <v>2</v>
      </c>
      <c r="AF303" s="69">
        <v>1</v>
      </c>
      <c r="AG303" s="70">
        <v>1</v>
      </c>
      <c r="AH303" s="70">
        <v>1</v>
      </c>
      <c r="AI303" s="70">
        <v>1</v>
      </c>
      <c r="AJ303" s="70">
        <v>1</v>
      </c>
      <c r="AK303" s="78">
        <v>109.74435288827264</v>
      </c>
      <c r="AL303" s="79">
        <v>91.150401412237272</v>
      </c>
      <c r="AM303" s="80">
        <v>76.854999434279534</v>
      </c>
      <c r="AN303" s="81">
        <v>58.261047958244163</v>
      </c>
      <c r="AO303" s="70" t="str">
        <f>IF(head!$F$82="S460","a","c")</f>
        <v>c</v>
      </c>
      <c r="AP303" s="70">
        <f t="shared" si="30"/>
        <v>0.49</v>
      </c>
      <c r="AQ303" s="72">
        <f>IF(head!F$82="S235",235,IF(head!F$82="S275",275,IF(head!F$82="S355",355,IF(head!F$82="S420",420,460))))^0.5*head!$G$70*1000/(S303*3.1416*210000^0.5)</f>
        <v>1.7294979335121459</v>
      </c>
      <c r="AR303" s="72">
        <f t="shared" si="32"/>
        <v>2.3703085447218672</v>
      </c>
      <c r="AS303" s="72">
        <f t="shared" si="33"/>
        <v>0.25055294804848111</v>
      </c>
      <c r="AT303" s="52">
        <f>IF(head!F$82="S235",235,IF(head!F$82="S275",275,IF(head!F$82="S355",355,IF(head!F$82="S420",420,460))))*AS303*J303/1000</f>
        <v>1435.0843607156069</v>
      </c>
      <c r="AU303" s="194">
        <f t="shared" si="34"/>
        <v>1513.5456485971624</v>
      </c>
      <c r="AV303" s="166">
        <f>3.1416*1.13*head!$G$66/(1.4*head!$G$67)*((1+3.1416^2*AU303^2/(1.4*head!$G$67*1000)^2*(0.45^2+1))^0.5+3.1416*0.45*database!AU303/(1.4*head!$G$67*1000))</f>
        <v>36.488009748755502</v>
      </c>
      <c r="AW303" s="166">
        <f>AV303/(head!$G$66*1000)*(210000*database!P303*81000*database!T303)^0.5</f>
        <v>6926510172.8344116</v>
      </c>
      <c r="AX303" s="163">
        <f>IF(head!$F$82="S235",database!AF303,(IF(head!$F$82="S275",database!AG303,IF(head!$F$82="S355",database!AH303,IF(head!$F$82="S420",database!AI303,database!AJ303)))))</f>
        <v>1</v>
      </c>
      <c r="AY303" s="166">
        <f t="shared" si="35"/>
        <v>2149240.0074974671</v>
      </c>
      <c r="AZ303" s="212">
        <f>(AY303*VLOOKUP(head!$F$82,head!$L$1:$M$5,2)/AW303)^0.5</f>
        <v>0.33189399631053867</v>
      </c>
      <c r="BA303" s="169" t="str">
        <f t="shared" si="36"/>
        <v>HD 320 x 158</v>
      </c>
    </row>
    <row r="304" spans="1:53">
      <c r="A304" s="98" t="s">
        <v>845</v>
      </c>
      <c r="B304" s="62">
        <f t="shared" si="31"/>
        <v>1.0891089108910892</v>
      </c>
      <c r="C304" s="99">
        <v>330</v>
      </c>
      <c r="D304" s="99">
        <v>303</v>
      </c>
      <c r="E304" s="126">
        <v>14.5</v>
      </c>
      <c r="F304" s="99">
        <v>25.5</v>
      </c>
      <c r="G304" s="99">
        <v>27</v>
      </c>
      <c r="H304" s="100">
        <v>157.97558980093439</v>
      </c>
      <c r="I304" s="101">
        <v>160.99423164426435</v>
      </c>
      <c r="J304" s="101">
        <v>20124.278955533042</v>
      </c>
      <c r="K304" s="101">
        <v>1.7966460032938489</v>
      </c>
      <c r="L304" s="102">
        <v>396444672.49561095</v>
      </c>
      <c r="M304" s="101">
        <v>2402694.9848218844</v>
      </c>
      <c r="N304" s="101">
        <v>2718415.0074974671</v>
      </c>
      <c r="O304" s="103">
        <v>140.35604715245958</v>
      </c>
      <c r="P304" s="101">
        <v>118424336.32192087</v>
      </c>
      <c r="Q304" s="101">
        <v>781678.78760343813</v>
      </c>
      <c r="R304" s="101">
        <v>1193540.6167270066</v>
      </c>
      <c r="S304" s="101">
        <v>76.711471820571873</v>
      </c>
      <c r="T304" s="102">
        <v>4256282.6277706604</v>
      </c>
      <c r="U304" s="104">
        <v>2681030808255.6802</v>
      </c>
      <c r="V304" s="70">
        <v>1</v>
      </c>
      <c r="W304" s="70">
        <v>1</v>
      </c>
      <c r="X304" s="70">
        <v>1</v>
      </c>
      <c r="Y304" s="70">
        <v>1</v>
      </c>
      <c r="Z304" s="70">
        <v>1</v>
      </c>
      <c r="AA304" s="71">
        <v>1</v>
      </c>
      <c r="AB304" s="70">
        <v>1</v>
      </c>
      <c r="AC304" s="70">
        <v>1</v>
      </c>
      <c r="AD304" s="70">
        <v>1</v>
      </c>
      <c r="AE304" s="70">
        <v>1</v>
      </c>
      <c r="AF304" s="69">
        <v>1</v>
      </c>
      <c r="AG304" s="70">
        <v>1</v>
      </c>
      <c r="AH304" s="70">
        <v>1</v>
      </c>
      <c r="AI304" s="70">
        <v>1</v>
      </c>
      <c r="AJ304" s="70">
        <v>1</v>
      </c>
      <c r="AK304" s="78">
        <v>89.277534229362914</v>
      </c>
      <c r="AL304" s="79">
        <v>74.221094161646008</v>
      </c>
      <c r="AM304" s="80">
        <v>62.909086223530089</v>
      </c>
      <c r="AN304" s="81">
        <v>47.852646155813169</v>
      </c>
      <c r="AO304" s="70" t="str">
        <f>IF(head!$F$82="S460","a","c")</f>
        <v>c</v>
      </c>
      <c r="AP304" s="70">
        <f t="shared" si="30"/>
        <v>0.49</v>
      </c>
      <c r="AQ304" s="72">
        <f>IF(head!F$82="S235",235,IF(head!F$82="S275",275,IF(head!F$82="S355",355,IF(head!F$82="S420",420,460))))^0.5*head!$G$70*1000/(S304*3.1416*210000^0.5)</f>
        <v>1.7060561691166194</v>
      </c>
      <c r="AR304" s="72">
        <f t="shared" si="32"/>
        <v>2.3242975875240095</v>
      </c>
      <c r="AS304" s="72">
        <f t="shared" si="33"/>
        <v>0.25622501480584481</v>
      </c>
      <c r="AT304" s="52">
        <f>IF(head!F$82="S235",235,IF(head!F$82="S275",275,IF(head!F$82="S355",355,IF(head!F$82="S420",420,460))))*AS304*J304/1000</f>
        <v>1830.502004035134</v>
      </c>
      <c r="AU304" s="194">
        <f t="shared" si="34"/>
        <v>1277.9174808729213</v>
      </c>
      <c r="AV304" s="166">
        <f>3.1416*1.13*head!$G$66/(1.4*head!$G$67)*((1+3.1416^2*AU304^2/(1.4*head!$G$67*1000)^2*(0.45^2+1))^0.5+3.1416*0.45*database!AU304/(1.4*head!$G$67*1000))</f>
        <v>31.805454633638465</v>
      </c>
      <c r="AW304" s="166">
        <f>AV304/(head!$G$66*1000)*(210000*database!P304*81000*database!T304)^0.5</f>
        <v>9312997227.310585</v>
      </c>
      <c r="AX304" s="163">
        <f>IF(head!$F$82="S235",database!AF304,(IF(head!$F$82="S275",database!AG304,IF(head!$F$82="S355",database!AH304,IF(head!$F$82="S420",database!AI304,database!AJ304)))))</f>
        <v>1</v>
      </c>
      <c r="AY304" s="166">
        <f t="shared" si="35"/>
        <v>2718415.0074974671</v>
      </c>
      <c r="AZ304" s="212">
        <f>(AY304*VLOOKUP(head!$F$82,head!$L$1:$M$5,2)/AW304)^0.5</f>
        <v>0.32190470116833247</v>
      </c>
      <c r="BA304" s="169" t="str">
        <f t="shared" si="36"/>
        <v>HD 320 x 198</v>
      </c>
    </row>
    <row r="305" spans="1:53">
      <c r="A305" s="98" t="s">
        <v>846</v>
      </c>
      <c r="B305" s="62">
        <f t="shared" si="31"/>
        <v>1.1209150326797386</v>
      </c>
      <c r="C305" s="99">
        <v>343</v>
      </c>
      <c r="D305" s="99">
        <v>306</v>
      </c>
      <c r="E305" s="126">
        <v>18</v>
      </c>
      <c r="F305" s="99">
        <v>32</v>
      </c>
      <c r="G305" s="99">
        <v>27</v>
      </c>
      <c r="H305" s="100">
        <v>198.06946480093438</v>
      </c>
      <c r="I305" s="101">
        <v>201.85423164426433</v>
      </c>
      <c r="J305" s="101">
        <v>25231.778955533042</v>
      </c>
      <c r="K305" s="101">
        <v>1.8276460032938489</v>
      </c>
      <c r="L305" s="102">
        <v>518957302.62061095</v>
      </c>
      <c r="M305" s="101">
        <v>3025990.1027440871</v>
      </c>
      <c r="N305" s="101">
        <v>3479118.6324974671</v>
      </c>
      <c r="O305" s="103">
        <v>143.41410868557995</v>
      </c>
      <c r="P305" s="101">
        <v>153106966.74101672</v>
      </c>
      <c r="Q305" s="101">
        <v>1000699.129026253</v>
      </c>
      <c r="R305" s="101">
        <v>1530181.0423991894</v>
      </c>
      <c r="S305" s="101">
        <v>77.897503721630741</v>
      </c>
      <c r="T305" s="102">
        <v>8111629.5219345298</v>
      </c>
      <c r="U305" s="104">
        <v>3610886453475.6802</v>
      </c>
      <c r="V305" s="70">
        <v>1</v>
      </c>
      <c r="W305" s="70">
        <v>1</v>
      </c>
      <c r="X305" s="70">
        <v>1</v>
      </c>
      <c r="Y305" s="70">
        <v>1</v>
      </c>
      <c r="Z305" s="70">
        <v>1</v>
      </c>
      <c r="AA305" s="71">
        <v>1</v>
      </c>
      <c r="AB305" s="70">
        <v>1</v>
      </c>
      <c r="AC305" s="70">
        <v>1</v>
      </c>
      <c r="AD305" s="70">
        <v>1</v>
      </c>
      <c r="AE305" s="70">
        <v>1</v>
      </c>
      <c r="AF305" s="69">
        <v>1</v>
      </c>
      <c r="AG305" s="70">
        <v>1</v>
      </c>
      <c r="AH305" s="70">
        <v>1</v>
      </c>
      <c r="AI305" s="70">
        <v>1</v>
      </c>
      <c r="AJ305" s="70">
        <v>1</v>
      </c>
      <c r="AK305" s="78">
        <v>72.434290365129684</v>
      </c>
      <c r="AL305" s="79">
        <v>60.306726924625714</v>
      </c>
      <c r="AM305" s="80">
        <v>51.443063221484167</v>
      </c>
      <c r="AN305" s="81">
        <v>39.315499780980197</v>
      </c>
      <c r="AO305" s="70" t="str">
        <f>IF(head!$F$82="S460","a","c")</f>
        <v>c</v>
      </c>
      <c r="AP305" s="70">
        <f t="shared" si="30"/>
        <v>0.49</v>
      </c>
      <c r="AQ305" s="72">
        <f>IF(head!F$82="S235",235,IF(head!F$82="S275",275,IF(head!F$82="S355",355,IF(head!F$82="S420",420,460))))^0.5*head!$G$70*1000/(S305*3.1416*210000^0.5)</f>
        <v>1.6800805351758785</v>
      </c>
      <c r="AR305" s="72">
        <f t="shared" si="32"/>
        <v>2.2739550334565237</v>
      </c>
      <c r="AS305" s="72">
        <f t="shared" si="33"/>
        <v>0.26271963085162475</v>
      </c>
      <c r="AT305" s="52">
        <f>IF(head!F$82="S235",235,IF(head!F$82="S275",275,IF(head!F$82="S355",355,IF(head!F$82="S420",420,460))))*AS305*J305/1000</f>
        <v>2353.2536967892393</v>
      </c>
      <c r="AU305" s="194">
        <f t="shared" si="34"/>
        <v>1074.2862084463691</v>
      </c>
      <c r="AV305" s="166">
        <f>3.1416*1.13*head!$G$66/(1.4*head!$G$67)*((1+3.1416^2*AU305^2/(1.4*head!$G$67*1000)^2*(0.45^2+1))^0.5+3.1416*0.45*database!AU305/(1.4*head!$G$67*1000))</f>
        <v>27.890846248113881</v>
      </c>
      <c r="AW305" s="166">
        <f>AV305/(head!$G$66*1000)*(210000*database!P305*81000*database!T305)^0.5</f>
        <v>12819331499.83502</v>
      </c>
      <c r="AX305" s="163">
        <f>IF(head!$F$82="S235",database!AF305,(IF(head!$F$82="S275",database!AG305,IF(head!$F$82="S355",database!AH305,IF(head!$F$82="S420",database!AI305,database!AJ305)))))</f>
        <v>1</v>
      </c>
      <c r="AY305" s="166">
        <f t="shared" si="35"/>
        <v>3479118.6324974671</v>
      </c>
      <c r="AZ305" s="212">
        <f>(AY305*VLOOKUP(head!$F$82,head!$L$1:$M$5,2)/AW305)^0.5</f>
        <v>0.31039599307078236</v>
      </c>
      <c r="BA305" s="169" t="str">
        <f t="shared" si="36"/>
        <v>HD 320 x 245</v>
      </c>
    </row>
    <row r="306" spans="1:53">
      <c r="A306" s="98" t="s">
        <v>847</v>
      </c>
      <c r="B306" s="62">
        <f t="shared" si="31"/>
        <v>1.1618122977346279</v>
      </c>
      <c r="C306" s="99">
        <v>359</v>
      </c>
      <c r="D306" s="99">
        <v>309</v>
      </c>
      <c r="E306" s="126">
        <v>21</v>
      </c>
      <c r="F306" s="99">
        <v>40</v>
      </c>
      <c r="G306" s="99">
        <v>27</v>
      </c>
      <c r="H306" s="100">
        <v>244.95751480093438</v>
      </c>
      <c r="I306" s="101">
        <v>249.63823164426435</v>
      </c>
      <c r="J306" s="101">
        <v>31204.778955533042</v>
      </c>
      <c r="K306" s="101">
        <v>1.8656460032938489</v>
      </c>
      <c r="L306" s="102">
        <v>681348508.37061095</v>
      </c>
      <c r="M306" s="101">
        <v>3795813.4171064678</v>
      </c>
      <c r="N306" s="101">
        <v>4435027.3824974671</v>
      </c>
      <c r="O306" s="103">
        <v>147.76585787141727</v>
      </c>
      <c r="P306" s="101">
        <v>197093225.12086421</v>
      </c>
      <c r="Q306" s="101">
        <v>1275684.3049894124</v>
      </c>
      <c r="R306" s="101">
        <v>1950724.460832489</v>
      </c>
      <c r="S306" s="101">
        <v>79.47404040149479</v>
      </c>
      <c r="T306" s="102">
        <v>15101089.1600751</v>
      </c>
      <c r="U306" s="104">
        <v>4889875058756.6602</v>
      </c>
      <c r="V306" s="70">
        <v>1</v>
      </c>
      <c r="W306" s="70">
        <v>1</v>
      </c>
      <c r="X306" s="70">
        <v>1</v>
      </c>
      <c r="Y306" s="70">
        <v>1</v>
      </c>
      <c r="Z306" s="70">
        <v>1</v>
      </c>
      <c r="AA306" s="71">
        <v>1</v>
      </c>
      <c r="AB306" s="70">
        <v>1</v>
      </c>
      <c r="AC306" s="70">
        <v>1</v>
      </c>
      <c r="AD306" s="70">
        <v>1</v>
      </c>
      <c r="AE306" s="70">
        <v>1</v>
      </c>
      <c r="AF306" s="69">
        <v>1</v>
      </c>
      <c r="AG306" s="70">
        <v>1</v>
      </c>
      <c r="AH306" s="70">
        <v>1</v>
      </c>
      <c r="AI306" s="70">
        <v>1</v>
      </c>
      <c r="AJ306" s="70">
        <v>1</v>
      </c>
      <c r="AK306" s="78">
        <v>59.787188556996455</v>
      </c>
      <c r="AL306" s="79">
        <v>49.884859159299829</v>
      </c>
      <c r="AM306" s="80">
        <v>42.813954936319412</v>
      </c>
      <c r="AN306" s="81">
        <v>32.911625538622786</v>
      </c>
      <c r="AO306" s="70" t="str">
        <f>IF(head!$F$82="S460","a","c")</f>
        <v>c</v>
      </c>
      <c r="AP306" s="70">
        <f t="shared" si="30"/>
        <v>0.49</v>
      </c>
      <c r="AQ306" s="72">
        <f>IF(head!F$82="S235",235,IF(head!F$82="S275",275,IF(head!F$82="S355",355,IF(head!F$82="S420",420,460))))^0.5*head!$G$70*1000/(S306*3.1416*210000^0.5)</f>
        <v>1.6467525632312108</v>
      </c>
      <c r="AR306" s="72">
        <f t="shared" si="32"/>
        <v>2.2103513802459283</v>
      </c>
      <c r="AS306" s="72">
        <f t="shared" si="33"/>
        <v>0.27138863428997784</v>
      </c>
      <c r="AT306" s="52">
        <f>IF(head!F$82="S235",235,IF(head!F$82="S275",275,IF(head!F$82="S355",355,IF(head!F$82="S420",420,460))))*AS306*J306/1000</f>
        <v>3006.3609321422773</v>
      </c>
      <c r="AU306" s="194">
        <f t="shared" si="34"/>
        <v>916.24556049798207</v>
      </c>
      <c r="AV306" s="166">
        <f>3.1416*1.13*head!$G$66/(1.4*head!$G$67)*((1+3.1416^2*AU306^2/(1.4*head!$G$67*1000)^2*(0.45^2+1))^0.5+3.1416*0.45*database!AU306/(1.4*head!$G$67*1000))</f>
        <v>24.971093792257445</v>
      </c>
      <c r="AW306" s="166">
        <f>AV306/(head!$G$66*1000)*(210000*database!P306*81000*database!T306)^0.5</f>
        <v>17767638382.425671</v>
      </c>
      <c r="AX306" s="163">
        <f>IF(head!$F$82="S235",database!AF306,(IF(head!$F$82="S275",database!AG306,IF(head!$F$82="S355",database!AH306,IF(head!$F$82="S420",database!AI306,database!AJ306)))))</f>
        <v>1</v>
      </c>
      <c r="AY306" s="166">
        <f t="shared" si="35"/>
        <v>4435027.3824974671</v>
      </c>
      <c r="AZ306" s="212">
        <f>(AY306*VLOOKUP(head!$F$82,head!$L$1:$M$5,2)/AW306)^0.5</f>
        <v>0.29767850507006571</v>
      </c>
      <c r="BA306" s="169" t="str">
        <f t="shared" si="36"/>
        <v>HD 320 x 300</v>
      </c>
    </row>
    <row r="307" spans="1:53">
      <c r="A307" s="98" t="s">
        <v>848</v>
      </c>
      <c r="B307" s="62">
        <f t="shared" si="31"/>
        <v>1.1980830670926517</v>
      </c>
      <c r="C307" s="99">
        <v>375</v>
      </c>
      <c r="D307" s="99">
        <v>313</v>
      </c>
      <c r="E307" s="126">
        <v>27</v>
      </c>
      <c r="F307" s="99">
        <v>48</v>
      </c>
      <c r="G307" s="99">
        <v>27</v>
      </c>
      <c r="H307" s="100">
        <v>299.92321480093437</v>
      </c>
      <c r="I307" s="101">
        <v>305.65423164426426</v>
      </c>
      <c r="J307" s="101">
        <v>38206.778955533038</v>
      </c>
      <c r="K307" s="101">
        <v>1.9016460032938489</v>
      </c>
      <c r="L307" s="102">
        <v>869048211.87061095</v>
      </c>
      <c r="M307" s="101">
        <v>4634923.7966432581</v>
      </c>
      <c r="N307" s="101">
        <v>5521796.8824974671</v>
      </c>
      <c r="O307" s="103">
        <v>150.81749470719885</v>
      </c>
      <c r="P307" s="101">
        <v>246026752.89645895</v>
      </c>
      <c r="Q307" s="101">
        <v>1572055.929050856</v>
      </c>
      <c r="R307" s="101">
        <v>2414325.7976990882</v>
      </c>
      <c r="S307" s="101">
        <v>80.245549344284342</v>
      </c>
      <c r="T307" s="102">
        <v>26324767.7867328</v>
      </c>
      <c r="U307" s="104">
        <v>6387544620459.5</v>
      </c>
      <c r="V307" s="70">
        <v>1</v>
      </c>
      <c r="W307" s="70">
        <v>1</v>
      </c>
      <c r="X307" s="70">
        <v>1</v>
      </c>
      <c r="Y307" s="70">
        <v>1</v>
      </c>
      <c r="Z307" s="70">
        <v>1</v>
      </c>
      <c r="AA307" s="71">
        <v>1</v>
      </c>
      <c r="AB307" s="70">
        <v>1</v>
      </c>
      <c r="AC307" s="70">
        <v>1</v>
      </c>
      <c r="AD307" s="70">
        <v>1</v>
      </c>
      <c r="AE307" s="70">
        <v>1</v>
      </c>
      <c r="AF307" s="69">
        <v>1</v>
      </c>
      <c r="AG307" s="70">
        <v>1</v>
      </c>
      <c r="AH307" s="70">
        <v>1</v>
      </c>
      <c r="AI307" s="70">
        <v>1</v>
      </c>
      <c r="AJ307" s="70">
        <v>1</v>
      </c>
      <c r="AK307" s="78">
        <v>49.772476384546302</v>
      </c>
      <c r="AL307" s="79">
        <v>41.580212902605439</v>
      </c>
      <c r="AM307" s="80">
        <v>36.014551281631398</v>
      </c>
      <c r="AN307" s="81">
        <v>27.822287799690535</v>
      </c>
      <c r="AO307" s="70" t="str">
        <f>IF(head!$F$82="S460","a","c")</f>
        <v>c</v>
      </c>
      <c r="AP307" s="70">
        <f t="shared" si="30"/>
        <v>0.49</v>
      </c>
      <c r="AQ307" s="72">
        <f>IF(head!F$82="S235",235,IF(head!F$82="S275",275,IF(head!F$82="S355",355,IF(head!F$82="S420",420,460))))^0.5*head!$G$70*1000/(S307*3.1416*210000^0.5)</f>
        <v>1.630920104740041</v>
      </c>
      <c r="AR307" s="72">
        <f t="shared" si="32"/>
        <v>2.1805256196839435</v>
      </c>
      <c r="AS307" s="72">
        <f t="shared" si="33"/>
        <v>0.27564420689526747</v>
      </c>
      <c r="AT307" s="52">
        <f>IF(head!F$82="S235",235,IF(head!F$82="S275",275,IF(head!F$82="S355",355,IF(head!F$82="S420",420,460))))*AS307*J307/1000</f>
        <v>3738.6744355433484</v>
      </c>
      <c r="AU307" s="194">
        <f t="shared" si="34"/>
        <v>793.1436232709508</v>
      </c>
      <c r="AV307" s="166">
        <f>3.1416*1.13*head!$G$66/(1.4*head!$G$67)*((1+3.1416^2*AU307^2/(1.4*head!$G$67*1000)^2*(0.45^2+1))^0.5+3.1416*0.45*database!AU307/(1.4*head!$G$67*1000))</f>
        <v>22.7923959174679</v>
      </c>
      <c r="AW307" s="166">
        <f>AV307/(head!$G$66*1000)*(210000*database!P307*81000*database!T307)^0.5</f>
        <v>23922996619.177547</v>
      </c>
      <c r="AX307" s="163">
        <f>IF(head!$F$82="S235",database!AF307,(IF(head!$F$82="S275",database!AG307,IF(head!$F$82="S355",database!AH307,IF(head!$F$82="S420",database!AI307,database!AJ307)))))</f>
        <v>1</v>
      </c>
      <c r="AY307" s="166">
        <f t="shared" si="35"/>
        <v>5521796.8824974671</v>
      </c>
      <c r="AZ307" s="212">
        <f>(AY307*VLOOKUP(head!$F$82,head!$L$1:$M$5,2)/AW307)^0.5</f>
        <v>0.28625072854624273</v>
      </c>
      <c r="BA307" s="169" t="str">
        <f t="shared" si="36"/>
        <v>HD 320 x 368</v>
      </c>
    </row>
    <row r="308" spans="1:53">
      <c r="A308" s="98" t="s">
        <v>849</v>
      </c>
      <c r="B308" s="62">
        <f t="shared" si="31"/>
        <v>1.238244514106583</v>
      </c>
      <c r="C308" s="99">
        <v>395</v>
      </c>
      <c r="D308" s="99">
        <v>319</v>
      </c>
      <c r="E308" s="126">
        <v>33</v>
      </c>
      <c r="F308" s="99">
        <v>58</v>
      </c>
      <c r="G308" s="99">
        <v>27</v>
      </c>
      <c r="H308" s="100">
        <v>367.66871480093437</v>
      </c>
      <c r="I308" s="101">
        <v>374.69423164426428</v>
      </c>
      <c r="J308" s="101">
        <v>46836.778955533038</v>
      </c>
      <c r="K308" s="101">
        <v>1.953646003293849</v>
      </c>
      <c r="L308" s="102">
        <v>1131887441.0372775</v>
      </c>
      <c r="M308" s="101">
        <v>5731075.6508216579</v>
      </c>
      <c r="N308" s="101">
        <v>6960884.3824974671</v>
      </c>
      <c r="O308" s="103">
        <v>155.45622252964583</v>
      </c>
      <c r="P308" s="101">
        <v>314966250.35991997</v>
      </c>
      <c r="Q308" s="101">
        <v>1974710.0336045139</v>
      </c>
      <c r="R308" s="101">
        <v>3041126.1345656873</v>
      </c>
      <c r="S308" s="101">
        <v>82.004653895320388</v>
      </c>
      <c r="T308" s="102">
        <v>46283425.908902302</v>
      </c>
      <c r="U308" s="104">
        <v>8656147496698.9004</v>
      </c>
      <c r="V308" s="70">
        <v>1</v>
      </c>
      <c r="W308" s="70">
        <v>1</v>
      </c>
      <c r="X308" s="70">
        <v>1</v>
      </c>
      <c r="Y308" s="70">
        <v>1</v>
      </c>
      <c r="Z308" s="70">
        <v>1</v>
      </c>
      <c r="AA308" s="71">
        <v>1</v>
      </c>
      <c r="AB308" s="70">
        <v>1</v>
      </c>
      <c r="AC308" s="70">
        <v>1</v>
      </c>
      <c r="AD308" s="70">
        <v>1</v>
      </c>
      <c r="AE308" s="70">
        <v>1</v>
      </c>
      <c r="AF308" s="69">
        <v>1</v>
      </c>
      <c r="AG308" s="70">
        <v>1</v>
      </c>
      <c r="AH308" s="70">
        <v>1</v>
      </c>
      <c r="AI308" s="70">
        <v>1</v>
      </c>
      <c r="AJ308" s="70">
        <v>1</v>
      </c>
      <c r="AK308" s="78">
        <v>41.711792460122972</v>
      </c>
      <c r="AL308" s="79">
        <v>34.900905650360507</v>
      </c>
      <c r="AM308" s="80">
        <v>30.488860076303432</v>
      </c>
      <c r="AN308" s="81">
        <v>23.67797326654097</v>
      </c>
      <c r="AO308" s="70" t="str">
        <f>IF(head!$F$82="S460","a","c")</f>
        <v>c</v>
      </c>
      <c r="AP308" s="70">
        <f t="shared" si="30"/>
        <v>0.49</v>
      </c>
      <c r="AQ308" s="72">
        <f>IF(head!F$82="S235",235,IF(head!F$82="S275",275,IF(head!F$82="S355",355,IF(head!F$82="S420",420,460))))^0.5*head!$G$70*1000/(S308*3.1416*210000^0.5)</f>
        <v>1.5959347857081891</v>
      </c>
      <c r="AR308" s="72">
        <f t="shared" si="32"/>
        <v>2.1155079426152281</v>
      </c>
      <c r="AS308" s="72">
        <f t="shared" si="33"/>
        <v>0.28537476044250432</v>
      </c>
      <c r="AT308" s="52">
        <f>IF(head!F$82="S235",235,IF(head!F$82="S275",275,IF(head!F$82="S355",355,IF(head!F$82="S420",420,460))))*AS308*J308/1000</f>
        <v>4744.9422738884887</v>
      </c>
      <c r="AU308" s="194">
        <f t="shared" si="34"/>
        <v>696.33257598011642</v>
      </c>
      <c r="AV308" s="166">
        <f>3.1416*1.13*head!$G$66/(1.4*head!$G$67)*((1+3.1416^2*AU308^2/(1.4*head!$G$67*1000)^2*(0.45^2+1))^0.5+3.1416*0.45*database!AU308/(1.4*head!$G$67*1000))</f>
        <v>21.152949551664747</v>
      </c>
      <c r="AW308" s="166">
        <f>AV308/(head!$G$66*1000)*(210000*database!P308*81000*database!T308)^0.5</f>
        <v>33309479745.585133</v>
      </c>
      <c r="AX308" s="163">
        <f>IF(head!$F$82="S235",database!AF308,(IF(head!$F$82="S275",database!AG308,IF(head!$F$82="S355",database!AH308,IF(head!$F$82="S420",database!AI308,database!AJ308)))))</f>
        <v>1</v>
      </c>
      <c r="AY308" s="166">
        <f t="shared" si="35"/>
        <v>6960884.3824974671</v>
      </c>
      <c r="AZ308" s="212">
        <f>(AY308*VLOOKUP(head!$F$82,head!$L$1:$M$5,2)/AW308)^0.5</f>
        <v>0.27237200132228417</v>
      </c>
      <c r="BA308" s="169" t="str">
        <f t="shared" si="36"/>
        <v>HD 320 x 451</v>
      </c>
    </row>
    <row r="309" spans="1:53">
      <c r="A309" s="98" t="s">
        <v>850</v>
      </c>
      <c r="B309" s="62">
        <f t="shared" si="31"/>
        <v>1.2852760736196318</v>
      </c>
      <c r="C309" s="99">
        <v>419</v>
      </c>
      <c r="D309" s="99">
        <v>326</v>
      </c>
      <c r="E309" s="126">
        <v>40</v>
      </c>
      <c r="F309" s="99">
        <v>70</v>
      </c>
      <c r="G309" s="99">
        <v>27</v>
      </c>
      <c r="H309" s="100">
        <v>450.79236480093437</v>
      </c>
      <c r="I309" s="101">
        <v>459.40623164426427</v>
      </c>
      <c r="J309" s="101">
        <v>57425.778955533038</v>
      </c>
      <c r="K309" s="101">
        <v>2.015646003293849</v>
      </c>
      <c r="L309" s="102">
        <v>1491941533.4539442</v>
      </c>
      <c r="M309" s="101">
        <v>7121439.3004961535</v>
      </c>
      <c r="N309" s="101">
        <v>8826112.1324974671</v>
      </c>
      <c r="O309" s="103">
        <v>161.18419502706988</v>
      </c>
      <c r="P309" s="101">
        <v>406131126.26075172</v>
      </c>
      <c r="Q309" s="101">
        <v>2491602.0015997039</v>
      </c>
      <c r="R309" s="101">
        <v>3847549.6109100529</v>
      </c>
      <c r="S309" s="101">
        <v>84.096842539014588</v>
      </c>
      <c r="T309" s="102">
        <v>81137599.619221807</v>
      </c>
      <c r="U309" s="104">
        <v>11920892810550.699</v>
      </c>
      <c r="V309" s="70">
        <v>1</v>
      </c>
      <c r="W309" s="70">
        <v>1</v>
      </c>
      <c r="X309" s="70">
        <v>1</v>
      </c>
      <c r="Y309" s="70">
        <v>1</v>
      </c>
      <c r="Z309" s="70">
        <v>1</v>
      </c>
      <c r="AA309" s="71">
        <v>1</v>
      </c>
      <c r="AB309" s="70">
        <v>1</v>
      </c>
      <c r="AC309" s="70">
        <v>1</v>
      </c>
      <c r="AD309" s="70">
        <v>1</v>
      </c>
      <c r="AE309" s="70">
        <v>1</v>
      </c>
      <c r="AF309" s="69">
        <v>1</v>
      </c>
      <c r="AG309" s="70">
        <v>1</v>
      </c>
      <c r="AH309" s="70">
        <v>1</v>
      </c>
      <c r="AI309" s="70">
        <v>1</v>
      </c>
      <c r="AJ309" s="70">
        <v>1</v>
      </c>
      <c r="AK309" s="78">
        <v>35.100020234024861</v>
      </c>
      <c r="AL309" s="79">
        <v>29.423127278816818</v>
      </c>
      <c r="AM309" s="80">
        <v>25.946535286073587</v>
      </c>
      <c r="AN309" s="81">
        <v>20.26964233086554</v>
      </c>
      <c r="AO309" s="70" t="str">
        <f>IF(head!$F$82="S460","a","c")</f>
        <v>c</v>
      </c>
      <c r="AP309" s="70">
        <f t="shared" si="30"/>
        <v>0.49</v>
      </c>
      <c r="AQ309" s="72">
        <f>IF(head!F$82="S235",235,IF(head!F$82="S275",275,IF(head!F$82="S355",355,IF(head!F$82="S420",420,460))))^0.5*head!$G$70*1000/(S309*3.1416*210000^0.5)</f>
        <v>1.5562306002248141</v>
      </c>
      <c r="AR309" s="72">
        <f t="shared" si="32"/>
        <v>2.043203337593122</v>
      </c>
      <c r="AS309" s="72">
        <f t="shared" si="33"/>
        <v>0.29698735158804862</v>
      </c>
      <c r="AT309" s="52">
        <f>IF(head!F$82="S235",235,IF(head!F$82="S275",275,IF(head!F$82="S355",355,IF(head!F$82="S420",420,460))))*AS309*J309/1000</f>
        <v>6054.4291517339807</v>
      </c>
      <c r="AU309" s="194">
        <f t="shared" si="34"/>
        <v>617.17802126240395</v>
      </c>
      <c r="AV309" s="166">
        <f>3.1416*1.13*head!$G$66/(1.4*head!$G$67)*((1+3.1416^2*AU309^2/(1.4*head!$G$67*1000)^2*(0.45^2+1))^0.5+3.1416*0.45*database!AU309/(1.4*head!$G$67*1000))</f>
        <v>19.870529992536838</v>
      </c>
      <c r="AW309" s="166">
        <f>AV309/(head!$G$66*1000)*(210000*database!P309*81000*database!T309)^0.5</f>
        <v>47044171347.818024</v>
      </c>
      <c r="AX309" s="163">
        <f>IF(head!$F$82="S235",database!AF309,(IF(head!$F$82="S275",database!AG309,IF(head!$F$82="S355",database!AH309,IF(head!$F$82="S420",database!AI309,database!AJ309)))))</f>
        <v>1</v>
      </c>
      <c r="AY309" s="166">
        <f t="shared" si="35"/>
        <v>8826112.1324974671</v>
      </c>
      <c r="AZ309" s="212">
        <f>(AY309*VLOOKUP(head!$F$82,head!$L$1:$M$5,2)/AW309)^0.5</f>
        <v>0.25807502929701837</v>
      </c>
      <c r="BA309" s="169" t="str">
        <f t="shared" si="36"/>
        <v>HD 360 x 134</v>
      </c>
    </row>
    <row r="310" spans="1:53">
      <c r="A310" s="98" t="s">
        <v>851</v>
      </c>
      <c r="B310" s="62">
        <f t="shared" si="31"/>
        <v>0.964769647696477</v>
      </c>
      <c r="C310" s="99">
        <v>356</v>
      </c>
      <c r="D310" s="99">
        <v>369</v>
      </c>
      <c r="E310" s="126">
        <v>11.2</v>
      </c>
      <c r="F310" s="99">
        <v>18</v>
      </c>
      <c r="G310" s="99">
        <v>15</v>
      </c>
      <c r="H310" s="100">
        <v>133.92996197559702</v>
      </c>
      <c r="I310" s="101">
        <v>136.48913322353837</v>
      </c>
      <c r="J310" s="101">
        <v>17061.141652942297</v>
      </c>
      <c r="K310" s="101">
        <v>2.1398477796076936</v>
      </c>
      <c r="L310" s="102">
        <v>415087501.13775641</v>
      </c>
      <c r="M310" s="101">
        <v>2331952.2535829013</v>
      </c>
      <c r="N310" s="101">
        <v>2561971.5396766332</v>
      </c>
      <c r="O310" s="103">
        <v>155.97887504557872</v>
      </c>
      <c r="P310" s="101">
        <v>150784692.55648726</v>
      </c>
      <c r="Q310" s="101">
        <v>817261.2062682237</v>
      </c>
      <c r="R310" s="101">
        <v>1237212.9180506112</v>
      </c>
      <c r="S310" s="101">
        <v>94.010114799652911</v>
      </c>
      <c r="T310" s="102">
        <v>1682660.45724264</v>
      </c>
      <c r="U310" s="104">
        <v>4279149972632.9404</v>
      </c>
      <c r="V310" s="70">
        <v>2</v>
      </c>
      <c r="W310" s="70">
        <v>2</v>
      </c>
      <c r="X310" s="70">
        <v>3</v>
      </c>
      <c r="Y310" s="70">
        <v>3</v>
      </c>
      <c r="Z310" s="70">
        <v>3</v>
      </c>
      <c r="AA310" s="71">
        <v>3</v>
      </c>
      <c r="AB310" s="70">
        <v>3</v>
      </c>
      <c r="AC310" s="70">
        <v>3</v>
      </c>
      <c r="AD310" s="70">
        <v>4</v>
      </c>
      <c r="AE310" s="70">
        <v>4</v>
      </c>
      <c r="AF310" s="69">
        <v>2</v>
      </c>
      <c r="AG310" s="70">
        <v>2</v>
      </c>
      <c r="AH310" s="70">
        <v>3</v>
      </c>
      <c r="AI310" s="70">
        <v>3</v>
      </c>
      <c r="AJ310" s="70">
        <v>3</v>
      </c>
      <c r="AK310" s="78">
        <v>125.42230896011957</v>
      </c>
      <c r="AL310" s="79">
        <v>103.79421351925181</v>
      </c>
      <c r="AM310" s="80">
        <v>84.988450919398986</v>
      </c>
      <c r="AN310" s="81">
        <v>63.360355478531233</v>
      </c>
      <c r="AO310" s="70" t="str">
        <f>IF(head!$F$82="S460","a","c")</f>
        <v>c</v>
      </c>
      <c r="AP310" s="70">
        <f t="shared" si="30"/>
        <v>0.49</v>
      </c>
      <c r="AQ310" s="72">
        <f>IF(head!F$82="S235",235,IF(head!F$82="S275",275,IF(head!F$82="S355",355,IF(head!F$82="S420",420,460))))^0.5*head!$G$70*1000/(S310*3.1416*210000^0.5)</f>
        <v>1.3921276452051043</v>
      </c>
      <c r="AR310" s="72">
        <f t="shared" si="32"/>
        <v>1.7610809633474052</v>
      </c>
      <c r="AS310" s="72">
        <f t="shared" si="33"/>
        <v>0.35215172875648038</v>
      </c>
      <c r="AT310" s="52">
        <f>IF(head!F$82="S235",235,IF(head!F$82="S275",275,IF(head!F$82="S355",355,IF(head!F$82="S420",420,460))))*AS310*J310/1000</f>
        <v>2132.8792373132028</v>
      </c>
      <c r="AU310" s="194">
        <f t="shared" si="34"/>
        <v>2567.7199021996485</v>
      </c>
      <c r="AV310" s="166">
        <f>3.1416*1.13*head!$G$66/(1.4*head!$G$67)*((1+3.1416^2*AU310^2/(1.4*head!$G$67*1000)^2*(0.45^2+1))^0.5+3.1416*0.45*database!AU310/(1.4*head!$G$67*1000))</f>
        <v>58.450544004297235</v>
      </c>
      <c r="AW310" s="166">
        <f>AV310/(head!$G$66*1000)*(210000*database!P310*81000*database!T310)^0.5</f>
        <v>12142764888.915897</v>
      </c>
      <c r="AX310" s="163">
        <f>IF(head!$F$82="S235",database!AF310,(IF(head!$F$82="S275",database!AG310,IF(head!$F$82="S355",database!AH310,IF(head!$F$82="S420",database!AI310,database!AJ310)))))</f>
        <v>3</v>
      </c>
      <c r="AY310" s="166">
        <f t="shared" si="35"/>
        <v>2331952.2535829013</v>
      </c>
      <c r="AZ310" s="212">
        <f>(AY310*VLOOKUP(head!$F$82,head!$L$1:$M$5,2)/AW310)^0.5</f>
        <v>0.26110501327954122</v>
      </c>
      <c r="BA310" s="169" t="str">
        <f t="shared" si="36"/>
        <v>HD 360 x 147</v>
      </c>
    </row>
    <row r="311" spans="1:53">
      <c r="A311" s="98" t="s">
        <v>852</v>
      </c>
      <c r="B311" s="62">
        <f t="shared" si="31"/>
        <v>0.97297297297297303</v>
      </c>
      <c r="C311" s="99">
        <v>360</v>
      </c>
      <c r="D311" s="99">
        <v>370</v>
      </c>
      <c r="E311" s="126">
        <v>12.3</v>
      </c>
      <c r="F311" s="99">
        <v>19.8</v>
      </c>
      <c r="G311" s="99">
        <v>15</v>
      </c>
      <c r="H311" s="100">
        <v>147.47058397559704</v>
      </c>
      <c r="I311" s="101">
        <v>150.28849322353838</v>
      </c>
      <c r="J311" s="101">
        <v>18786.061652942295</v>
      </c>
      <c r="K311" s="101">
        <v>2.1496477796076938</v>
      </c>
      <c r="L311" s="102">
        <v>462886257.27822679</v>
      </c>
      <c r="M311" s="101">
        <v>2571590.3182123709</v>
      </c>
      <c r="N311" s="101">
        <v>2838267.0600072215</v>
      </c>
      <c r="O311" s="103">
        <v>156.97094466910775</v>
      </c>
      <c r="P311" s="101">
        <v>167223545.97392622</v>
      </c>
      <c r="Q311" s="101">
        <v>903911.05931852025</v>
      </c>
      <c r="R311" s="101">
        <v>1369263.2749597295</v>
      </c>
      <c r="S311" s="101">
        <v>94.347596835570698</v>
      </c>
      <c r="T311" s="102">
        <v>2228088.7271465999</v>
      </c>
      <c r="U311" s="104">
        <v>4806393553532.5098</v>
      </c>
      <c r="V311" s="70">
        <v>1</v>
      </c>
      <c r="W311" s="70">
        <v>1</v>
      </c>
      <c r="X311" s="70">
        <v>3</v>
      </c>
      <c r="Y311" s="70">
        <v>3</v>
      </c>
      <c r="Z311" s="70">
        <v>3</v>
      </c>
      <c r="AA311" s="71">
        <v>2</v>
      </c>
      <c r="AB311" s="70">
        <v>3</v>
      </c>
      <c r="AC311" s="70">
        <v>3</v>
      </c>
      <c r="AD311" s="70">
        <v>3</v>
      </c>
      <c r="AE311" s="70">
        <v>3</v>
      </c>
      <c r="AF311" s="69">
        <v>1</v>
      </c>
      <c r="AG311" s="70">
        <v>1</v>
      </c>
      <c r="AH311" s="70">
        <v>3</v>
      </c>
      <c r="AI311" s="70">
        <v>3</v>
      </c>
      <c r="AJ311" s="70">
        <v>3</v>
      </c>
      <c r="AK311" s="78">
        <v>114.42780393893861</v>
      </c>
      <c r="AL311" s="79">
        <v>94.732350637684789</v>
      </c>
      <c r="AM311" s="80">
        <v>77.717194107650187</v>
      </c>
      <c r="AN311" s="81">
        <v>58.021740806396366</v>
      </c>
      <c r="AO311" s="70" t="str">
        <f>IF(head!$F$82="S460","a","c")</f>
        <v>c</v>
      </c>
      <c r="AP311" s="70">
        <f t="shared" si="30"/>
        <v>0.49</v>
      </c>
      <c r="AQ311" s="72">
        <f>IF(head!F$82="S235",235,IF(head!F$82="S275",275,IF(head!F$82="S355",355,IF(head!F$82="S420",420,460))))^0.5*head!$G$70*1000/(S311*3.1416*210000^0.5)</f>
        <v>1.387147994554542</v>
      </c>
      <c r="AR311" s="72">
        <f t="shared" si="32"/>
        <v>1.7529410380642068</v>
      </c>
      <c r="AS311" s="72">
        <f t="shared" si="33"/>
        <v>0.35402250067576296</v>
      </c>
      <c r="AT311" s="52">
        <f>IF(head!F$82="S235",235,IF(head!F$82="S275",275,IF(head!F$82="S355",355,IF(head!F$82="S420",420,460))))*AS311*J311/1000</f>
        <v>2360.9944260994093</v>
      </c>
      <c r="AU311" s="194">
        <f t="shared" si="34"/>
        <v>2364.8879124544628</v>
      </c>
      <c r="AV311" s="166">
        <f>3.1416*1.13*head!$G$66/(1.4*head!$G$67)*((1+3.1416^2*AU311^2/(1.4*head!$G$67*1000)^2*(0.45^2+1))^0.5+3.1416*0.45*database!AU311/(1.4*head!$G$67*1000))</f>
        <v>54.147279340763063</v>
      </c>
      <c r="AW311" s="166">
        <f>AV311/(head!$G$66*1000)*(210000*database!P311*81000*database!T311)^0.5</f>
        <v>13631503262.304909</v>
      </c>
      <c r="AX311" s="163">
        <f>IF(head!$F$82="S235",database!AF311,(IF(head!$F$82="S275",database!AG311,IF(head!$F$82="S355",database!AH311,IF(head!$F$82="S420",database!AI311,database!AJ311)))))</f>
        <v>3</v>
      </c>
      <c r="AY311" s="166">
        <f t="shared" si="35"/>
        <v>2571590.3182123709</v>
      </c>
      <c r="AZ311" s="212">
        <f>(AY311*VLOOKUP(head!$F$82,head!$L$1:$M$5,2)/AW311)^0.5</f>
        <v>0.25878743831619544</v>
      </c>
      <c r="BA311" s="169" t="str">
        <f t="shared" si="36"/>
        <v>HD 360 x 162</v>
      </c>
    </row>
    <row r="312" spans="1:53">
      <c r="A312" s="98" t="s">
        <v>853</v>
      </c>
      <c r="B312" s="62">
        <f t="shared" si="31"/>
        <v>0.98113207547169812</v>
      </c>
      <c r="C312" s="99">
        <v>364</v>
      </c>
      <c r="D312" s="99">
        <v>371</v>
      </c>
      <c r="E312" s="126">
        <v>13.3</v>
      </c>
      <c r="F312" s="99">
        <v>21.8</v>
      </c>
      <c r="G312" s="99">
        <v>15</v>
      </c>
      <c r="H312" s="100">
        <v>161.94598397559702</v>
      </c>
      <c r="I312" s="101">
        <v>165.04049322353836</v>
      </c>
      <c r="J312" s="101">
        <v>20630.061652942295</v>
      </c>
      <c r="K312" s="101">
        <v>2.1596477796076936</v>
      </c>
      <c r="L312" s="102">
        <v>515392075.94489354</v>
      </c>
      <c r="M312" s="101">
        <v>2831824.5931038102</v>
      </c>
      <c r="N312" s="101">
        <v>3139271.0600072215</v>
      </c>
      <c r="O312" s="103">
        <v>158.05877277693196</v>
      </c>
      <c r="P312" s="101">
        <v>185619139.43096593</v>
      </c>
      <c r="Q312" s="101">
        <v>1000642.2610833743</v>
      </c>
      <c r="R312" s="101">
        <v>1516387.3057862008</v>
      </c>
      <c r="S312" s="101">
        <v>94.855193540197078</v>
      </c>
      <c r="T312" s="102">
        <v>2942917.2263951902</v>
      </c>
      <c r="U312" s="104">
        <v>5397118551519.04</v>
      </c>
      <c r="V312" s="70">
        <v>1</v>
      </c>
      <c r="W312" s="70">
        <v>1</v>
      </c>
      <c r="X312" s="70">
        <v>2</v>
      </c>
      <c r="Y312" s="70">
        <v>3</v>
      </c>
      <c r="Z312" s="70">
        <v>3</v>
      </c>
      <c r="AA312" s="71">
        <v>1</v>
      </c>
      <c r="AB312" s="70">
        <v>2</v>
      </c>
      <c r="AC312" s="70">
        <v>3</v>
      </c>
      <c r="AD312" s="70">
        <v>3</v>
      </c>
      <c r="AE312" s="70">
        <v>3</v>
      </c>
      <c r="AF312" s="69">
        <v>1</v>
      </c>
      <c r="AG312" s="70">
        <v>1</v>
      </c>
      <c r="AH312" s="70">
        <v>2</v>
      </c>
      <c r="AI312" s="70">
        <v>3</v>
      </c>
      <c r="AJ312" s="70">
        <v>3</v>
      </c>
      <c r="AK312" s="78">
        <v>104.68450438681461</v>
      </c>
      <c r="AL312" s="79">
        <v>86.701038983690765</v>
      </c>
      <c r="AM312" s="80">
        <v>71.255240276528511</v>
      </c>
      <c r="AN312" s="81">
        <v>53.271774873404638</v>
      </c>
      <c r="AO312" s="70" t="str">
        <f>IF(head!$F$82="S460","a","c")</f>
        <v>c</v>
      </c>
      <c r="AP312" s="70">
        <f t="shared" si="30"/>
        <v>0.49</v>
      </c>
      <c r="AQ312" s="72">
        <f>IF(head!F$82="S235",235,IF(head!F$82="S275",275,IF(head!F$82="S355",355,IF(head!F$82="S420",420,460))))^0.5*head!$G$70*1000/(S312*3.1416*210000^0.5)</f>
        <v>1.3797249771678706</v>
      </c>
      <c r="AR312" s="72">
        <f t="shared" si="32"/>
        <v>1.7408531257165687</v>
      </c>
      <c r="AS312" s="72">
        <f t="shared" si="33"/>
        <v>0.35683418849596077</v>
      </c>
      <c r="AT312" s="52">
        <f>IF(head!F$82="S235",235,IF(head!F$82="S275",275,IF(head!F$82="S355",355,IF(head!F$82="S420",420,460))))*AS312*J312/1000</f>
        <v>2613.3365145350026</v>
      </c>
      <c r="AU312" s="194">
        <f t="shared" si="34"/>
        <v>2180.5150735862067</v>
      </c>
      <c r="AV312" s="166">
        <f>3.1416*1.13*head!$G$66/(1.4*head!$G$67)*((1+3.1416^2*AU312^2/(1.4*head!$G$67*1000)^2*(0.45^2+1))^0.5+3.1416*0.45*database!AU312/(1.4*head!$G$67*1000))</f>
        <v>50.259122668373251</v>
      </c>
      <c r="AW312" s="166">
        <f>AV312/(head!$G$66*1000)*(210000*database!P312*81000*database!T312)^0.5</f>
        <v>15320306749.703148</v>
      </c>
      <c r="AX312" s="163">
        <f>IF(head!$F$82="S235",database!AF312,(IF(head!$F$82="S275",database!AG312,IF(head!$F$82="S355",database!AH312,IF(head!$F$82="S420",database!AI312,database!AJ312)))))</f>
        <v>2</v>
      </c>
      <c r="AY312" s="166">
        <f t="shared" si="35"/>
        <v>3139271.0600072215</v>
      </c>
      <c r="AZ312" s="212">
        <f>(AY312*VLOOKUP(head!$F$82,head!$L$1:$M$5,2)/AW312)^0.5</f>
        <v>0.26970863697105618</v>
      </c>
      <c r="BA312" s="169" t="str">
        <f t="shared" si="36"/>
        <v>HD 360 x 179</v>
      </c>
    </row>
    <row r="313" spans="1:53">
      <c r="A313" s="98" t="s">
        <v>854</v>
      </c>
      <c r="B313" s="62">
        <f t="shared" si="31"/>
        <v>0.98659517426273458</v>
      </c>
      <c r="C313" s="99">
        <v>368</v>
      </c>
      <c r="D313" s="99">
        <v>373</v>
      </c>
      <c r="E313" s="126">
        <v>15</v>
      </c>
      <c r="F313" s="99">
        <v>23.9</v>
      </c>
      <c r="G313" s="99">
        <v>15</v>
      </c>
      <c r="H313" s="100">
        <v>179.18050197559702</v>
      </c>
      <c r="I313" s="101">
        <v>182.60433322353836</v>
      </c>
      <c r="J313" s="101">
        <v>22825.541652942295</v>
      </c>
      <c r="K313" s="101">
        <v>2.1722477796076936</v>
      </c>
      <c r="L313" s="102">
        <v>574404317.67177498</v>
      </c>
      <c r="M313" s="101">
        <v>3121762.5960422554</v>
      </c>
      <c r="N313" s="101">
        <v>3482303.2738419273</v>
      </c>
      <c r="O313" s="103">
        <v>158.63474023648166</v>
      </c>
      <c r="P313" s="101">
        <v>206829872.81311336</v>
      </c>
      <c r="Q313" s="101">
        <v>1109007.3609282218</v>
      </c>
      <c r="R313" s="101">
        <v>1682698.4871912014</v>
      </c>
      <c r="S313" s="101">
        <v>95.191043214123368</v>
      </c>
      <c r="T313" s="102">
        <v>3910952.82362844</v>
      </c>
      <c r="U313" s="104">
        <v>6077360850834.4805</v>
      </c>
      <c r="V313" s="70">
        <v>1</v>
      </c>
      <c r="W313" s="70">
        <v>1</v>
      </c>
      <c r="X313" s="70">
        <v>1</v>
      </c>
      <c r="Y313" s="70">
        <v>2</v>
      </c>
      <c r="Z313" s="70">
        <v>2</v>
      </c>
      <c r="AA313" s="71">
        <v>1</v>
      </c>
      <c r="AB313" s="70">
        <v>1</v>
      </c>
      <c r="AC313" s="70">
        <v>2</v>
      </c>
      <c r="AD313" s="70">
        <v>3</v>
      </c>
      <c r="AE313" s="70">
        <v>3</v>
      </c>
      <c r="AF313" s="69">
        <v>1</v>
      </c>
      <c r="AG313" s="70">
        <v>1</v>
      </c>
      <c r="AH313" s="70">
        <v>1</v>
      </c>
      <c r="AI313" s="70">
        <v>2</v>
      </c>
      <c r="AJ313" s="70">
        <v>2</v>
      </c>
      <c r="AK313" s="78">
        <v>95.167414321915246</v>
      </c>
      <c r="AL313" s="79">
        <v>78.826071554615837</v>
      </c>
      <c r="AM313" s="80">
        <v>64.927265364980499</v>
      </c>
      <c r="AN313" s="81">
        <v>48.58592259768109</v>
      </c>
      <c r="AO313" s="70" t="str">
        <f>IF(head!$F$82="S460","a","c")</f>
        <v>c</v>
      </c>
      <c r="AP313" s="70">
        <f t="shared" si="30"/>
        <v>0.49</v>
      </c>
      <c r="AQ313" s="72">
        <f>IF(head!F$82="S235",235,IF(head!F$82="S275",275,IF(head!F$82="S355",355,IF(head!F$82="S420",420,460))))^0.5*head!$G$70*1000/(S313*3.1416*210000^0.5)</f>
        <v>1.3748570802729132</v>
      </c>
      <c r="AR313" s="72">
        <f t="shared" si="32"/>
        <v>1.7329559802551437</v>
      </c>
      <c r="AS313" s="72">
        <f t="shared" si="33"/>
        <v>0.35869307217409274</v>
      </c>
      <c r="AT313" s="52">
        <f>IF(head!F$82="S235",235,IF(head!F$82="S275",275,IF(head!F$82="S355",355,IF(head!F$82="S420",420,460))))*AS313*J313/1000</f>
        <v>2906.5140991337144</v>
      </c>
      <c r="AU313" s="194">
        <f t="shared" si="34"/>
        <v>2007.1663213163124</v>
      </c>
      <c r="AV313" s="166">
        <f>3.1416*1.13*head!$G$66/(1.4*head!$G$67)*((1+3.1416^2*AU313^2/(1.4*head!$G$67*1000)^2*(0.45^2+1))^0.5+3.1416*0.45*database!AU313/(1.4*head!$G$67*1000))</f>
        <v>46.628816285442234</v>
      </c>
      <c r="AW313" s="166">
        <f>AV313/(head!$G$66*1000)*(210000*database!P313*81000*database!T313)^0.5</f>
        <v>17296350145.661716</v>
      </c>
      <c r="AX313" s="163">
        <f>IF(head!$F$82="S235",database!AF313,(IF(head!$F$82="S275",database!AG313,IF(head!$F$82="S355",database!AH313,IF(head!$F$82="S420",database!AI313,database!AJ313)))))</f>
        <v>1</v>
      </c>
      <c r="AY313" s="166">
        <f t="shared" si="35"/>
        <v>3482303.2738419273</v>
      </c>
      <c r="AZ313" s="212">
        <f>(AY313*VLOOKUP(head!$F$82,head!$L$1:$M$5,2)/AW313)^0.5</f>
        <v>0.26734387452219027</v>
      </c>
      <c r="BA313" s="169" t="str">
        <f t="shared" si="36"/>
        <v>HD 360 x 196</v>
      </c>
    </row>
    <row r="314" spans="1:53">
      <c r="A314" s="98" t="s">
        <v>855</v>
      </c>
      <c r="B314" s="62">
        <f t="shared" si="31"/>
        <v>0.99465240641711228</v>
      </c>
      <c r="C314" s="99">
        <v>372</v>
      </c>
      <c r="D314" s="99">
        <v>374</v>
      </c>
      <c r="E314" s="126">
        <v>16.399999999999999</v>
      </c>
      <c r="F314" s="99">
        <v>26.2</v>
      </c>
      <c r="G314" s="99">
        <v>15</v>
      </c>
      <c r="H314" s="100">
        <v>196.502625975597</v>
      </c>
      <c r="I314" s="101">
        <v>200.25745322353833</v>
      </c>
      <c r="J314" s="101">
        <v>25032.181652942294</v>
      </c>
      <c r="K314" s="101">
        <v>2.1814477796076934</v>
      </c>
      <c r="L314" s="102">
        <v>636323892.60808492</v>
      </c>
      <c r="M314" s="101">
        <v>3421096.1968176607</v>
      </c>
      <c r="N314" s="101">
        <v>3837433.0073460448</v>
      </c>
      <c r="O314" s="103">
        <v>159.43723874788637</v>
      </c>
      <c r="P314" s="101">
        <v>228580932.05645767</v>
      </c>
      <c r="Q314" s="101">
        <v>1222357.9254356024</v>
      </c>
      <c r="R314" s="101">
        <v>1856096.3903482612</v>
      </c>
      <c r="S314" s="101">
        <v>95.558791505853563</v>
      </c>
      <c r="T314" s="102">
        <v>5129658.8785656001</v>
      </c>
      <c r="U314" s="104">
        <v>6780418548999.4805</v>
      </c>
      <c r="V314" s="70">
        <v>1</v>
      </c>
      <c r="W314" s="70">
        <v>1</v>
      </c>
      <c r="X314" s="70">
        <v>1</v>
      </c>
      <c r="Y314" s="70">
        <v>1</v>
      </c>
      <c r="Z314" s="70">
        <v>1</v>
      </c>
      <c r="AA314" s="71">
        <v>1</v>
      </c>
      <c r="AB314" s="70">
        <v>1</v>
      </c>
      <c r="AC314" s="70">
        <v>2</v>
      </c>
      <c r="AD314" s="70">
        <v>2</v>
      </c>
      <c r="AE314" s="70">
        <v>3</v>
      </c>
      <c r="AF314" s="69">
        <v>1</v>
      </c>
      <c r="AG314" s="70">
        <v>1</v>
      </c>
      <c r="AH314" s="70">
        <v>1</v>
      </c>
      <c r="AI314" s="70">
        <v>1</v>
      </c>
      <c r="AJ314" s="70">
        <v>1</v>
      </c>
      <c r="AK314" s="78">
        <v>87.145731436927505</v>
      </c>
      <c r="AL314" s="79">
        <v>72.204964180389169</v>
      </c>
      <c r="AM314" s="80">
        <v>59.603274723944395</v>
      </c>
      <c r="AN314" s="81">
        <v>44.662507467406058</v>
      </c>
      <c r="AO314" s="70" t="str">
        <f>IF(head!$F$82="S460","a","c")</f>
        <v>c</v>
      </c>
      <c r="AP314" s="70">
        <f t="shared" si="30"/>
        <v>0.49</v>
      </c>
      <c r="AQ314" s="72">
        <f>IF(head!F$82="S235",235,IF(head!F$82="S275",275,IF(head!F$82="S355",355,IF(head!F$82="S420",420,460))))^0.5*head!$G$70*1000/(S314*3.1416*210000^0.5)</f>
        <v>1.3695660826087941</v>
      </c>
      <c r="AR314" s="72">
        <f t="shared" si="32"/>
        <v>1.7243993175553536</v>
      </c>
      <c r="AS314" s="72">
        <f t="shared" si="33"/>
        <v>0.36072709878972209</v>
      </c>
      <c r="AT314" s="52">
        <f>IF(head!F$82="S235",235,IF(head!F$82="S275",275,IF(head!F$82="S355",355,IF(head!F$82="S420",420,460))))*AS314*J314/1000</f>
        <v>3205.5741237353304</v>
      </c>
      <c r="AU314" s="194">
        <f t="shared" si="34"/>
        <v>1851.1906445241591</v>
      </c>
      <c r="AV314" s="166">
        <f>3.1416*1.13*head!$G$66/(1.4*head!$G$67)*((1+3.1416^2*AU314^2/(1.4*head!$G$67*1000)^2*(0.45^2+1))^0.5+3.1416*0.45*database!AU314/(1.4*head!$G$67*1000))</f>
        <v>43.388333724045118</v>
      </c>
      <c r="AW314" s="166">
        <f>AV314/(head!$G$66*1000)*(210000*database!P314*81000*database!T314)^0.5</f>
        <v>19377126349.688602</v>
      </c>
      <c r="AX314" s="163">
        <f>IF(head!$F$82="S235",database!AF314,(IF(head!$F$82="S275",database!AG314,IF(head!$F$82="S355",database!AH314,IF(head!$F$82="S420",database!AI314,database!AJ314)))))</f>
        <v>1</v>
      </c>
      <c r="AY314" s="166">
        <f t="shared" si="35"/>
        <v>3837433.0073460448</v>
      </c>
      <c r="AZ314" s="212">
        <f>(AY314*VLOOKUP(head!$F$82,head!$L$1:$M$5,2)/AW314)^0.5</f>
        <v>0.26514893945313023</v>
      </c>
      <c r="BA314" s="169" t="str">
        <f t="shared" si="36"/>
        <v>HD 400 x 187</v>
      </c>
    </row>
    <row r="315" spans="1:53">
      <c r="A315" s="98" t="s">
        <v>856</v>
      </c>
      <c r="B315" s="62">
        <f t="shared" si="31"/>
        <v>0.94117647058823528</v>
      </c>
      <c r="C315" s="99">
        <v>368</v>
      </c>
      <c r="D315" s="99">
        <v>391</v>
      </c>
      <c r="E315" s="126">
        <v>15</v>
      </c>
      <c r="F315" s="99">
        <v>24</v>
      </c>
      <c r="G315" s="99">
        <v>15</v>
      </c>
      <c r="H315" s="100">
        <v>186.52496197559702</v>
      </c>
      <c r="I315" s="101">
        <v>190.08913322353837</v>
      </c>
      <c r="J315" s="101">
        <v>23761.141652942297</v>
      </c>
      <c r="K315" s="101">
        <v>2.2442477796076936</v>
      </c>
      <c r="L315" s="102">
        <v>601834418.47108984</v>
      </c>
      <c r="M315" s="101">
        <v>3270839.2308211406</v>
      </c>
      <c r="N315" s="101">
        <v>3642351.5396766332</v>
      </c>
      <c r="O315" s="103">
        <v>159.14934620685165</v>
      </c>
      <c r="P315" s="101">
        <v>239220151.17978004</v>
      </c>
      <c r="Q315" s="101">
        <v>1223632.4868530948</v>
      </c>
      <c r="R315" s="101">
        <v>1854667.6871912016</v>
      </c>
      <c r="S315" s="101">
        <v>100.33795111596328</v>
      </c>
      <c r="T315" s="102">
        <v>4118995.8602598398</v>
      </c>
      <c r="U315" s="104">
        <v>7028241001822.6201</v>
      </c>
      <c r="V315" s="70">
        <v>1</v>
      </c>
      <c r="W315" s="70">
        <v>1</v>
      </c>
      <c r="X315" s="70">
        <v>1</v>
      </c>
      <c r="Y315" s="70">
        <v>2</v>
      </c>
      <c r="Z315" s="70">
        <v>3</v>
      </c>
      <c r="AA315" s="71">
        <v>1</v>
      </c>
      <c r="AB315" s="70">
        <v>2</v>
      </c>
      <c r="AC315" s="70">
        <v>3</v>
      </c>
      <c r="AD315" s="70">
        <v>3</v>
      </c>
      <c r="AE315" s="70">
        <v>3</v>
      </c>
      <c r="AF315" s="69">
        <v>1</v>
      </c>
      <c r="AG315" s="70">
        <v>1</v>
      </c>
      <c r="AH315" s="70">
        <v>1</v>
      </c>
      <c r="AI315" s="70">
        <v>2</v>
      </c>
      <c r="AJ315" s="70">
        <v>3</v>
      </c>
      <c r="AK315" s="78">
        <v>94.450334600391244</v>
      </c>
      <c r="AL315" s="79">
        <v>77.994896317543294</v>
      </c>
      <c r="AM315" s="80">
        <v>63.88581921576268</v>
      </c>
      <c r="AN315" s="81">
        <v>47.430380932914716</v>
      </c>
      <c r="AO315" s="70" t="str">
        <f>IF(head!$F$82="S460","a","c")</f>
        <v>c</v>
      </c>
      <c r="AP315" s="70">
        <f t="shared" si="30"/>
        <v>0.49</v>
      </c>
      <c r="AQ315" s="72">
        <f>IF(head!F$82="S235",235,IF(head!F$82="S275",275,IF(head!F$82="S355",355,IF(head!F$82="S420",420,460))))^0.5*head!$G$70*1000/(S315*3.1416*210000^0.5)</f>
        <v>1.3043327901946855</v>
      </c>
      <c r="AR315" s="72">
        <f t="shared" si="32"/>
        <v>1.6212035473862247</v>
      </c>
      <c r="AS315" s="72">
        <f t="shared" si="33"/>
        <v>0.38699380037226344</v>
      </c>
      <c r="AT315" s="52">
        <f>IF(head!F$82="S235",235,IF(head!F$82="S275",275,IF(head!F$82="S355",355,IF(head!F$82="S420",420,460))))*AS315*J315/1000</f>
        <v>3264.3721508568178</v>
      </c>
      <c r="AU315" s="194">
        <f t="shared" si="34"/>
        <v>2103.2688158967512</v>
      </c>
      <c r="AV315" s="166">
        <f>3.1416*1.13*head!$G$66/(1.4*head!$G$67)*((1+3.1416^2*AU315^2/(1.4*head!$G$67*1000)^2*(0.45^2+1))^0.5+3.1416*0.45*database!AU315/(1.4*head!$G$67*1000))</f>
        <v>48.638048448015553</v>
      </c>
      <c r="AW315" s="166">
        <f>AV315/(head!$G$66*1000)*(210000*database!P315*81000*database!T315)^0.5</f>
        <v>19912365520.827293</v>
      </c>
      <c r="AX315" s="163">
        <f>IF(head!$F$82="S235",database!AF315,(IF(head!$F$82="S275",database!AG315,IF(head!$F$82="S355",database!AH315,IF(head!$F$82="S420",database!AI315,database!AJ315)))))</f>
        <v>1</v>
      </c>
      <c r="AY315" s="166">
        <f t="shared" si="35"/>
        <v>3642351.5396766332</v>
      </c>
      <c r="AZ315" s="212">
        <f>(AY315*VLOOKUP(head!$F$82,head!$L$1:$M$5,2)/AW315)^0.5</f>
        <v>0.25482596541741825</v>
      </c>
      <c r="BA315" s="169" t="str">
        <f t="shared" si="36"/>
        <v>HD 400 x 216</v>
      </c>
    </row>
    <row r="316" spans="1:53">
      <c r="A316" s="98" t="s">
        <v>857</v>
      </c>
      <c r="B316" s="62">
        <f t="shared" si="31"/>
        <v>0.95177664974619292</v>
      </c>
      <c r="C316" s="99">
        <v>375</v>
      </c>
      <c r="D316" s="99">
        <v>394</v>
      </c>
      <c r="E316" s="126">
        <v>17.3</v>
      </c>
      <c r="F316" s="99">
        <v>27.7</v>
      </c>
      <c r="G316" s="99">
        <v>15</v>
      </c>
      <c r="H316" s="100">
        <v>216.26609997559703</v>
      </c>
      <c r="I316" s="101">
        <v>220.39857322353836</v>
      </c>
      <c r="J316" s="101">
        <v>27549.821652942297</v>
      </c>
      <c r="K316" s="101">
        <v>2.2656477796076939</v>
      </c>
      <c r="L316" s="102">
        <v>711384715.39661825</v>
      </c>
      <c r="M316" s="101">
        <v>3794051.8154486306</v>
      </c>
      <c r="N316" s="101">
        <v>4262353.1433460442</v>
      </c>
      <c r="O316" s="103">
        <v>160.69148678408703</v>
      </c>
      <c r="P316" s="101">
        <v>282536352.01958913</v>
      </c>
      <c r="Q316" s="101">
        <v>1434194.6803024828</v>
      </c>
      <c r="R316" s="101">
        <v>2176249.6710920855</v>
      </c>
      <c r="S316" s="101">
        <v>101.26929133104673</v>
      </c>
      <c r="T316" s="102">
        <v>6320712.1169833001</v>
      </c>
      <c r="U316" s="104">
        <v>8456264618069.6699</v>
      </c>
      <c r="V316" s="70">
        <v>1</v>
      </c>
      <c r="W316" s="70">
        <v>1</v>
      </c>
      <c r="X316" s="70">
        <v>1</v>
      </c>
      <c r="Y316" s="70">
        <v>1</v>
      </c>
      <c r="Z316" s="70">
        <v>1</v>
      </c>
      <c r="AA316" s="71">
        <v>1</v>
      </c>
      <c r="AB316" s="70">
        <v>1</v>
      </c>
      <c r="AC316" s="70">
        <v>2</v>
      </c>
      <c r="AD316" s="70">
        <v>2</v>
      </c>
      <c r="AE316" s="70">
        <v>3</v>
      </c>
      <c r="AF316" s="69">
        <v>1</v>
      </c>
      <c r="AG316" s="70">
        <v>1</v>
      </c>
      <c r="AH316" s="70">
        <v>1</v>
      </c>
      <c r="AI316" s="70">
        <v>1</v>
      </c>
      <c r="AJ316" s="70">
        <v>1</v>
      </c>
      <c r="AK316" s="78">
        <v>82.238201326639981</v>
      </c>
      <c r="AL316" s="79">
        <v>67.936838328236632</v>
      </c>
      <c r="AM316" s="80">
        <v>55.826132719655661</v>
      </c>
      <c r="AN316" s="81">
        <v>41.524769721252326</v>
      </c>
      <c r="AO316" s="70" t="str">
        <f>IF(head!$F$82="S460","a","c")</f>
        <v>c</v>
      </c>
      <c r="AP316" s="70">
        <f t="shared" si="30"/>
        <v>0.49</v>
      </c>
      <c r="AQ316" s="72">
        <f>IF(head!F$82="S235",235,IF(head!F$82="S275",275,IF(head!F$82="S355",355,IF(head!F$82="S420",420,460))))^0.5*head!$G$70*1000/(S316*3.1416*210000^0.5)</f>
        <v>1.2923372724479558</v>
      </c>
      <c r="AR316" s="72">
        <f t="shared" si="32"/>
        <v>1.6026904446288603</v>
      </c>
      <c r="AS316" s="72">
        <f t="shared" si="33"/>
        <v>0.39206878717527371</v>
      </c>
      <c r="AT316" s="52">
        <f>IF(head!F$82="S235",235,IF(head!F$82="S275",275,IF(head!F$82="S355",355,IF(head!F$82="S420",420,460))))*AS316*J316/1000</f>
        <v>3834.5059326392839</v>
      </c>
      <c r="AU316" s="194">
        <f t="shared" si="34"/>
        <v>1862.4019387518863</v>
      </c>
      <c r="AV316" s="166">
        <f>3.1416*1.13*head!$G$66/(1.4*head!$G$67)*((1+3.1416^2*AU316^2/(1.4*head!$G$67*1000)^2*(0.45^2+1))^0.5+3.1416*0.45*database!AU316/(1.4*head!$G$67*1000))</f>
        <v>43.620314529891651</v>
      </c>
      <c r="AW316" s="166">
        <f>AV316/(head!$G$66*1000)*(210000*database!P316*81000*database!T316)^0.5</f>
        <v>24041475686.988571</v>
      </c>
      <c r="AX316" s="163">
        <f>IF(head!$F$82="S235",database!AF316,(IF(head!$F$82="S275",database!AG316,IF(head!$F$82="S355",database!AH316,IF(head!$F$82="S420",database!AI316,database!AJ316)))))</f>
        <v>1</v>
      </c>
      <c r="AY316" s="166">
        <f t="shared" si="35"/>
        <v>4262353.1433460442</v>
      </c>
      <c r="AZ316" s="212">
        <f>(AY316*VLOOKUP(head!$F$82,head!$L$1:$M$5,2)/AW316)^0.5</f>
        <v>0.25087554573319043</v>
      </c>
      <c r="BA316" s="169" t="str">
        <f t="shared" si="36"/>
        <v>HD 400 x 237</v>
      </c>
    </row>
    <row r="317" spans="1:53">
      <c r="A317" s="98" t="s">
        <v>858</v>
      </c>
      <c r="B317" s="62">
        <f t="shared" si="31"/>
        <v>0.96202531645569622</v>
      </c>
      <c r="C317" s="99">
        <v>380</v>
      </c>
      <c r="D317" s="99">
        <v>395</v>
      </c>
      <c r="E317" s="126">
        <v>18.899999999999999</v>
      </c>
      <c r="F317" s="99">
        <v>30.2</v>
      </c>
      <c r="G317" s="99">
        <v>15</v>
      </c>
      <c r="H317" s="100">
        <v>236.21891597559701</v>
      </c>
      <c r="I317" s="101">
        <v>240.73265322353836</v>
      </c>
      <c r="J317" s="101">
        <v>30091.581652942295</v>
      </c>
      <c r="K317" s="101">
        <v>2.2764477796076936</v>
      </c>
      <c r="L317" s="102">
        <v>787774999.90675151</v>
      </c>
      <c r="M317" s="101">
        <v>4146184.2100355341</v>
      </c>
      <c r="N317" s="101">
        <v>4685612.2673460441</v>
      </c>
      <c r="O317" s="103">
        <v>161.80002688894527</v>
      </c>
      <c r="P317" s="101">
        <v>310416687.74532771</v>
      </c>
      <c r="Q317" s="101">
        <v>1571730.0645333049</v>
      </c>
      <c r="R317" s="101">
        <v>2386990.892414439</v>
      </c>
      <c r="S317" s="101">
        <v>101.56639141792282</v>
      </c>
      <c r="T317" s="102">
        <v>8176319.9576151203</v>
      </c>
      <c r="U317" s="104">
        <v>9420852053255.2598</v>
      </c>
      <c r="V317" s="70">
        <v>1</v>
      </c>
      <c r="W317" s="70">
        <v>1</v>
      </c>
      <c r="X317" s="70">
        <v>1</v>
      </c>
      <c r="Y317" s="70">
        <v>1</v>
      </c>
      <c r="Z317" s="70">
        <v>1</v>
      </c>
      <c r="AA317" s="71">
        <v>1</v>
      </c>
      <c r="AB317" s="70">
        <v>1</v>
      </c>
      <c r="AC317" s="70">
        <v>1</v>
      </c>
      <c r="AD317" s="70">
        <v>2</v>
      </c>
      <c r="AE317" s="70">
        <v>2</v>
      </c>
      <c r="AF317" s="69">
        <v>1</v>
      </c>
      <c r="AG317" s="70">
        <v>1</v>
      </c>
      <c r="AH317" s="70">
        <v>1</v>
      </c>
      <c r="AI317" s="70">
        <v>1</v>
      </c>
      <c r="AJ317" s="70">
        <v>1</v>
      </c>
      <c r="AK317" s="78">
        <v>75.650652260915876</v>
      </c>
      <c r="AL317" s="79">
        <v>62.524057435968281</v>
      </c>
      <c r="AM317" s="80">
        <v>51.509422730806975</v>
      </c>
      <c r="AN317" s="81">
        <v>38.382827905859386</v>
      </c>
      <c r="AO317" s="70" t="str">
        <f>IF(head!$F$82="S460","a","c")</f>
        <v>c</v>
      </c>
      <c r="AP317" s="70">
        <f t="shared" si="30"/>
        <v>0.49</v>
      </c>
      <c r="AQ317" s="72">
        <f>IF(head!F$82="S235",235,IF(head!F$82="S275",275,IF(head!F$82="S355",355,IF(head!F$82="S420",420,460))))^0.5*head!$G$70*1000/(S317*3.1416*210000^0.5)</f>
        <v>1.2885569519053306</v>
      </c>
      <c r="AR317" s="72">
        <f t="shared" si="32"/>
        <v>1.5968859623685843</v>
      </c>
      <c r="AS317" s="72">
        <f t="shared" si="33"/>
        <v>0.39368421681414273</v>
      </c>
      <c r="AT317" s="52">
        <f>IF(head!F$82="S235",235,IF(head!F$82="S275",275,IF(head!F$82="S355",355,IF(head!F$82="S420",420,460))))*AS317*J317/1000</f>
        <v>4205.5361682867815</v>
      </c>
      <c r="AU317" s="194">
        <f t="shared" si="34"/>
        <v>1728.3563545189613</v>
      </c>
      <c r="AV317" s="166">
        <f>3.1416*1.13*head!$G$66/(1.4*head!$G$67)*((1+3.1416^2*AU317^2/(1.4*head!$G$67*1000)^2*(0.45^2+1))^0.5+3.1416*0.45*database!AU317/(1.4*head!$G$67*1000))</f>
        <v>40.857496634980485</v>
      </c>
      <c r="AW317" s="166">
        <f>AV317/(head!$G$66*1000)*(210000*database!P317*81000*database!T317)^0.5</f>
        <v>26845739996.969234</v>
      </c>
      <c r="AX317" s="163">
        <f>IF(head!$F$82="S235",database!AF317,(IF(head!$F$82="S275",database!AG317,IF(head!$F$82="S355",database!AH317,IF(head!$F$82="S420",database!AI317,database!AJ317)))))</f>
        <v>1</v>
      </c>
      <c r="AY317" s="166">
        <f t="shared" si="35"/>
        <v>4685612.2673460441</v>
      </c>
      <c r="AZ317" s="212">
        <f>(AY317*VLOOKUP(head!$F$82,head!$L$1:$M$5,2)/AW317)^0.5</f>
        <v>0.24891992456532255</v>
      </c>
      <c r="BA317" s="169" t="str">
        <f t="shared" si="36"/>
        <v>HD 400 x 262</v>
      </c>
    </row>
    <row r="318" spans="1:53">
      <c r="A318" s="98" t="s">
        <v>859</v>
      </c>
      <c r="B318" s="62">
        <f t="shared" si="31"/>
        <v>0.97236180904522618</v>
      </c>
      <c r="C318" s="99">
        <v>387</v>
      </c>
      <c r="D318" s="99">
        <v>398</v>
      </c>
      <c r="E318" s="126">
        <v>21.1</v>
      </c>
      <c r="F318" s="99">
        <v>33.299999999999997</v>
      </c>
      <c r="G318" s="99">
        <v>15</v>
      </c>
      <c r="H318" s="100">
        <v>262.663995975597</v>
      </c>
      <c r="I318" s="101">
        <v>267.68305322353837</v>
      </c>
      <c r="J318" s="101">
        <v>33460.381652942291</v>
      </c>
      <c r="K318" s="101">
        <v>2.2980477796076939</v>
      </c>
      <c r="L318" s="102">
        <v>894060602.9158268</v>
      </c>
      <c r="M318" s="101">
        <v>4620468.2321231356</v>
      </c>
      <c r="N318" s="101">
        <v>5259532.9920072202</v>
      </c>
      <c r="O318" s="103">
        <v>163.46246127174638</v>
      </c>
      <c r="P318" s="101">
        <v>350188261.12957287</v>
      </c>
      <c r="Q318" s="101">
        <v>1759740.0056762455</v>
      </c>
      <c r="R318" s="101">
        <v>2675772.6902326751</v>
      </c>
      <c r="S318" s="101">
        <v>102.30228797242536</v>
      </c>
      <c r="T318" s="102">
        <v>11028577.6590869</v>
      </c>
      <c r="U318" s="104">
        <v>10859135050845.6</v>
      </c>
      <c r="V318" s="70">
        <v>1</v>
      </c>
      <c r="W318" s="70">
        <v>1</v>
      </c>
      <c r="X318" s="70">
        <v>1</v>
      </c>
      <c r="Y318" s="70">
        <v>1</v>
      </c>
      <c r="Z318" s="70">
        <v>1</v>
      </c>
      <c r="AA318" s="71">
        <v>1</v>
      </c>
      <c r="AB318" s="70">
        <v>1</v>
      </c>
      <c r="AC318" s="70">
        <v>1</v>
      </c>
      <c r="AD318" s="70">
        <v>1</v>
      </c>
      <c r="AE318" s="70">
        <v>1</v>
      </c>
      <c r="AF318" s="69">
        <v>1</v>
      </c>
      <c r="AG318" s="70">
        <v>1</v>
      </c>
      <c r="AH318" s="70">
        <v>1</v>
      </c>
      <c r="AI318" s="70">
        <v>1</v>
      </c>
      <c r="AJ318" s="70">
        <v>1</v>
      </c>
      <c r="AK318" s="78">
        <v>68.679664309974129</v>
      </c>
      <c r="AL318" s="79">
        <v>56.785000222512878</v>
      </c>
      <c r="AM318" s="80">
        <v>46.921162355060716</v>
      </c>
      <c r="AN318" s="81">
        <v>35.026498267599457</v>
      </c>
      <c r="AO318" s="70" t="str">
        <f>IF(head!$F$82="S460","a","c")</f>
        <v>c</v>
      </c>
      <c r="AP318" s="70">
        <f t="shared" si="30"/>
        <v>0.49</v>
      </c>
      <c r="AQ318" s="72">
        <f>IF(head!F$82="S235",235,IF(head!F$82="S275",275,IF(head!F$82="S355",355,IF(head!F$82="S420",420,460))))^0.5*head!$G$70*1000/(S318*3.1416*210000^0.5)</f>
        <v>1.2792879058264881</v>
      </c>
      <c r="AR318" s="72">
        <f t="shared" si="32"/>
        <v>1.5827143099244503</v>
      </c>
      <c r="AS318" s="72">
        <f t="shared" si="33"/>
        <v>0.39767789383559748</v>
      </c>
      <c r="AT318" s="52">
        <f>IF(head!F$82="S235",235,IF(head!F$82="S275",275,IF(head!F$82="S355",355,IF(head!F$82="S420",420,460))))*AS318*J318/1000</f>
        <v>4723.7912064504617</v>
      </c>
      <c r="AU318" s="194">
        <f t="shared" si="34"/>
        <v>1597.7359318363658</v>
      </c>
      <c r="AV318" s="166">
        <f>3.1416*1.13*head!$G$66/(1.4*head!$G$67)*((1+3.1416^2*AU318^2/(1.4*head!$G$67*1000)^2*(0.45^2+1))^0.5+3.1416*0.45*database!AU318/(1.4*head!$G$67*1000))</f>
        <v>38.190894689409291</v>
      </c>
      <c r="AW318" s="166">
        <f>AV318/(head!$G$66*1000)*(210000*database!P318*81000*database!T318)^0.5</f>
        <v>30954410247.820686</v>
      </c>
      <c r="AX318" s="163">
        <f>IF(head!$F$82="S235",database!AF318,(IF(head!$F$82="S275",database!AG318,IF(head!$F$82="S355",database!AH318,IF(head!$F$82="S420",database!AI318,database!AJ318)))))</f>
        <v>1</v>
      </c>
      <c r="AY318" s="166">
        <f t="shared" si="35"/>
        <v>5259532.9920072202</v>
      </c>
      <c r="AZ318" s="212">
        <f>(AY318*VLOOKUP(head!$F$82,head!$L$1:$M$5,2)/AW318)^0.5</f>
        <v>0.2455989474908537</v>
      </c>
      <c r="BA318" s="169" t="str">
        <f t="shared" si="36"/>
        <v>HD 400 x 287</v>
      </c>
    </row>
    <row r="319" spans="1:53">
      <c r="A319" s="98" t="s">
        <v>860</v>
      </c>
      <c r="B319" s="62">
        <f t="shared" si="31"/>
        <v>0.98496240601503759</v>
      </c>
      <c r="C319" s="99">
        <v>393</v>
      </c>
      <c r="D319" s="99">
        <v>399</v>
      </c>
      <c r="E319" s="126">
        <v>22.6</v>
      </c>
      <c r="F319" s="99">
        <v>36.6</v>
      </c>
      <c r="G319" s="99">
        <v>15</v>
      </c>
      <c r="H319" s="100">
        <v>287.52525997559701</v>
      </c>
      <c r="I319" s="101">
        <v>293.01937322353842</v>
      </c>
      <c r="J319" s="101">
        <v>36627.421652942299</v>
      </c>
      <c r="K319" s="101">
        <v>2.3110477796076938</v>
      </c>
      <c r="L319" s="102">
        <v>997061718.98217106</v>
      </c>
      <c r="M319" s="101">
        <v>5074105.4401128292</v>
      </c>
      <c r="N319" s="101">
        <v>5812725.0115113389</v>
      </c>
      <c r="O319" s="103">
        <v>164.99008532866523</v>
      </c>
      <c r="P319" s="101">
        <v>387829922.90830177</v>
      </c>
      <c r="Q319" s="101">
        <v>1944009.6386381038</v>
      </c>
      <c r="R319" s="101">
        <v>2957043.1874723826</v>
      </c>
      <c r="S319" s="101">
        <v>102.90049950029265</v>
      </c>
      <c r="T319" s="102">
        <v>14467655.2346351</v>
      </c>
      <c r="U319" s="104">
        <v>12208301818244.801</v>
      </c>
      <c r="V319" s="70">
        <v>1</v>
      </c>
      <c r="W319" s="70">
        <v>1</v>
      </c>
      <c r="X319" s="70">
        <v>1</v>
      </c>
      <c r="Y319" s="70">
        <v>1</v>
      </c>
      <c r="Z319" s="70">
        <v>1</v>
      </c>
      <c r="AA319" s="71">
        <v>1</v>
      </c>
      <c r="AB319" s="70">
        <v>1</v>
      </c>
      <c r="AC319" s="70">
        <v>1</v>
      </c>
      <c r="AD319" s="70">
        <v>1</v>
      </c>
      <c r="AE319" s="70">
        <v>1</v>
      </c>
      <c r="AF319" s="69">
        <v>1</v>
      </c>
      <c r="AG319" s="70">
        <v>1</v>
      </c>
      <c r="AH319" s="70">
        <v>1</v>
      </c>
      <c r="AI319" s="70">
        <v>1</v>
      </c>
      <c r="AJ319" s="70">
        <v>1</v>
      </c>
      <c r="AK319" s="78">
        <v>63.09610874348963</v>
      </c>
      <c r="AL319" s="79">
        <v>52.202631070377244</v>
      </c>
      <c r="AM319" s="80">
        <v>43.246287303784499</v>
      </c>
      <c r="AN319" s="81">
        <v>32.352809630672112</v>
      </c>
      <c r="AO319" s="70" t="str">
        <f>IF(head!$F$82="S460","a","c")</f>
        <v>c</v>
      </c>
      <c r="AP319" s="70">
        <f t="shared" si="30"/>
        <v>0.49</v>
      </c>
      <c r="AQ319" s="72">
        <f>IF(head!F$82="S235",235,IF(head!F$82="S275",275,IF(head!F$82="S355",355,IF(head!F$82="S420",420,460))))^0.5*head!$G$70*1000/(S319*3.1416*210000^0.5)</f>
        <v>1.2718507721250676</v>
      </c>
      <c r="AR319" s="72">
        <f t="shared" si="32"/>
        <v>1.5714056324482069</v>
      </c>
      <c r="AS319" s="72">
        <f t="shared" si="33"/>
        <v>0.4009160642155396</v>
      </c>
      <c r="AT319" s="52">
        <f>IF(head!F$82="S235",235,IF(head!F$82="S275",275,IF(head!F$82="S355",355,IF(head!F$82="S420",420,460))))*AS319*J319/1000</f>
        <v>5213.0052146685339</v>
      </c>
      <c r="AU319" s="194">
        <f t="shared" si="34"/>
        <v>1479.0937135313018</v>
      </c>
      <c r="AV319" s="166">
        <f>3.1416*1.13*head!$G$66/(1.4*head!$G$67)*((1+3.1416^2*AU319^2/(1.4*head!$G$67*1000)^2*(0.45^2+1))^0.5+3.1416*0.45*database!AU319/(1.4*head!$G$67*1000))</f>
        <v>35.795216359430064</v>
      </c>
      <c r="AW319" s="166">
        <f>AV319/(head!$G$66*1000)*(210000*database!P319*81000*database!T319)^0.5</f>
        <v>34970100548.548065</v>
      </c>
      <c r="AX319" s="163">
        <f>IF(head!$F$82="S235",database!AF319,(IF(head!$F$82="S275",database!AG319,IF(head!$F$82="S355",database!AH319,IF(head!$F$82="S420",database!AI319,database!AJ319)))))</f>
        <v>1</v>
      </c>
      <c r="AY319" s="166">
        <f t="shared" si="35"/>
        <v>5812725.0115113389</v>
      </c>
      <c r="AZ319" s="212">
        <f>(AY319*VLOOKUP(head!$F$82,head!$L$1:$M$5,2)/AW319)^0.5</f>
        <v>0.24291572244353515</v>
      </c>
      <c r="BA319" s="169" t="str">
        <f t="shared" si="36"/>
        <v>HD 400 x 314</v>
      </c>
    </row>
    <row r="320" spans="1:53">
      <c r="A320" s="98" t="s">
        <v>861</v>
      </c>
      <c r="B320" s="62">
        <f t="shared" si="31"/>
        <v>0.99501246882793015</v>
      </c>
      <c r="C320" s="99">
        <v>399</v>
      </c>
      <c r="D320" s="99">
        <v>401</v>
      </c>
      <c r="E320" s="126">
        <v>24.9</v>
      </c>
      <c r="F320" s="99">
        <v>39.6</v>
      </c>
      <c r="G320" s="99">
        <v>15</v>
      </c>
      <c r="H320" s="100">
        <v>313.33558897559703</v>
      </c>
      <c r="I320" s="101">
        <v>319.32289322353836</v>
      </c>
      <c r="J320" s="101">
        <v>39915.361652942294</v>
      </c>
      <c r="K320" s="101">
        <v>2.3264477796076934</v>
      </c>
      <c r="L320" s="102">
        <v>1102322421.9419706</v>
      </c>
      <c r="M320" s="101">
        <v>5525425.6738945898</v>
      </c>
      <c r="N320" s="101">
        <v>6374007.9145113379</v>
      </c>
      <c r="O320" s="103">
        <v>166.18211670540444</v>
      </c>
      <c r="P320" s="101">
        <v>426037102.87217414</v>
      </c>
      <c r="Q320" s="101">
        <v>2124873.3310332876</v>
      </c>
      <c r="R320" s="101">
        <v>3236481.3378732665</v>
      </c>
      <c r="S320" s="101">
        <v>103.31269177950553</v>
      </c>
      <c r="T320" s="102">
        <v>18447941.294086698</v>
      </c>
      <c r="U320" s="104">
        <v>13626274257952.5</v>
      </c>
      <c r="V320" s="70">
        <v>1</v>
      </c>
      <c r="W320" s="70">
        <v>1</v>
      </c>
      <c r="X320" s="70">
        <v>1</v>
      </c>
      <c r="Y320" s="70">
        <v>1</v>
      </c>
      <c r="Z320" s="70">
        <v>1</v>
      </c>
      <c r="AA320" s="71">
        <v>1</v>
      </c>
      <c r="AB320" s="70">
        <v>1</v>
      </c>
      <c r="AC320" s="70">
        <v>1</v>
      </c>
      <c r="AD320" s="70">
        <v>1</v>
      </c>
      <c r="AE320" s="70">
        <v>1</v>
      </c>
      <c r="AF320" s="69">
        <v>1</v>
      </c>
      <c r="AG320" s="70">
        <v>1</v>
      </c>
      <c r="AH320" s="70">
        <v>1</v>
      </c>
      <c r="AI320" s="70">
        <v>1</v>
      </c>
      <c r="AJ320" s="70">
        <v>1</v>
      </c>
      <c r="AK320" s="78">
        <v>58.284522130496676</v>
      </c>
      <c r="AL320" s="79">
        <v>48.238264664846461</v>
      </c>
      <c r="AM320" s="80">
        <v>40.084817818055733</v>
      </c>
      <c r="AN320" s="81">
        <v>30.038560352405518</v>
      </c>
      <c r="AO320" s="70" t="str">
        <f>IF(head!$F$82="S460","a","c")</f>
        <v>c</v>
      </c>
      <c r="AP320" s="70">
        <f t="shared" si="30"/>
        <v>0.49</v>
      </c>
      <c r="AQ320" s="72">
        <f>IF(head!F$82="S235",235,IF(head!F$82="S275",275,IF(head!F$82="S355",355,IF(head!F$82="S420",420,460))))^0.5*head!$G$70*1000/(S320*3.1416*210000^0.5)</f>
        <v>1.2667763997556036</v>
      </c>
      <c r="AR320" s="72">
        <f t="shared" si="32"/>
        <v>1.5637214414290073</v>
      </c>
      <c r="AS320" s="72">
        <f t="shared" si="33"/>
        <v>0.40314281003368091</v>
      </c>
      <c r="AT320" s="52">
        <f>IF(head!F$82="S235",235,IF(head!F$82="S275",275,IF(head!F$82="S355",355,IF(head!F$82="S420",420,460))))*AS320*J320/1000</f>
        <v>5712.5148263986148</v>
      </c>
      <c r="AU320" s="194">
        <f t="shared" si="34"/>
        <v>1383.8268309598134</v>
      </c>
      <c r="AV320" s="166">
        <f>3.1416*1.13*head!$G$66/(1.4*head!$G$67)*((1+3.1416^2*AU320^2/(1.4*head!$G$67*1000)^2*(0.45^2+1))^0.5+3.1416*0.45*database!AU320/(1.4*head!$G$67*1000))</f>
        <v>33.893184076380379</v>
      </c>
      <c r="AW320" s="166">
        <f>AV320/(head!$G$66*1000)*(210000*database!P320*81000*database!T320)^0.5</f>
        <v>39188820509.940285</v>
      </c>
      <c r="AX320" s="163">
        <f>IF(head!$F$82="S235",database!AF320,(IF(head!$F$82="S275",database!AG320,IF(head!$F$82="S355",database!AH320,IF(head!$F$82="S420",database!AI320,database!AJ320)))))</f>
        <v>1</v>
      </c>
      <c r="AY320" s="166">
        <f t="shared" si="35"/>
        <v>6374007.9145113379</v>
      </c>
      <c r="AZ320" s="212">
        <f>(AY320*VLOOKUP(head!$F$82,head!$L$1:$M$5,2)/AW320)^0.5</f>
        <v>0.2402920372633815</v>
      </c>
      <c r="BA320" s="169" t="str">
        <f t="shared" si="36"/>
        <v>HD 400 x 347</v>
      </c>
    </row>
    <row r="321" spans="1:53">
      <c r="A321" s="98" t="s">
        <v>862</v>
      </c>
      <c r="B321" s="62">
        <f t="shared" si="31"/>
        <v>1.0074257425742574</v>
      </c>
      <c r="C321" s="99">
        <v>407</v>
      </c>
      <c r="D321" s="99">
        <v>404</v>
      </c>
      <c r="E321" s="126">
        <v>27.2</v>
      </c>
      <c r="F321" s="99">
        <v>43.7</v>
      </c>
      <c r="G321" s="99">
        <v>15</v>
      </c>
      <c r="H321" s="100">
        <v>346.93751397559708</v>
      </c>
      <c r="I321" s="101">
        <v>353.56689322353839</v>
      </c>
      <c r="J321" s="101">
        <v>44195.861652942302</v>
      </c>
      <c r="K321" s="101">
        <v>2.3498477796076935</v>
      </c>
      <c r="L321" s="102">
        <v>1249445173.2838182</v>
      </c>
      <c r="M321" s="101">
        <v>6139779.7212964045</v>
      </c>
      <c r="N321" s="101">
        <v>7138786.0393460449</v>
      </c>
      <c r="O321" s="103">
        <v>168.13874408437337</v>
      </c>
      <c r="P321" s="101">
        <v>480850620.65615201</v>
      </c>
      <c r="Q321" s="101">
        <v>2380448.6171096633</v>
      </c>
      <c r="R321" s="101">
        <v>3628656.6672741496</v>
      </c>
      <c r="S321" s="101">
        <v>104.30720007414277</v>
      </c>
      <c r="T321" s="102">
        <v>24735774.533420298</v>
      </c>
      <c r="U321" s="104">
        <v>15706676776929.199</v>
      </c>
      <c r="V321" s="70">
        <v>1</v>
      </c>
      <c r="W321" s="70">
        <v>1</v>
      </c>
      <c r="X321" s="70">
        <v>1</v>
      </c>
      <c r="Y321" s="70">
        <v>1</v>
      </c>
      <c r="Z321" s="70">
        <v>1</v>
      </c>
      <c r="AA321" s="71">
        <v>1</v>
      </c>
      <c r="AB321" s="70">
        <v>1</v>
      </c>
      <c r="AC321" s="70">
        <v>1</v>
      </c>
      <c r="AD321" s="70">
        <v>1</v>
      </c>
      <c r="AE321" s="70">
        <v>1</v>
      </c>
      <c r="AF321" s="69">
        <v>1</v>
      </c>
      <c r="AG321" s="70">
        <v>1</v>
      </c>
      <c r="AH321" s="70">
        <v>1</v>
      </c>
      <c r="AI321" s="70">
        <v>1</v>
      </c>
      <c r="AJ321" s="70">
        <v>1</v>
      </c>
      <c r="AK321" s="78">
        <v>53.16895500443885</v>
      </c>
      <c r="AL321" s="79">
        <v>44.02782764793433</v>
      </c>
      <c r="AM321" s="80">
        <v>36.700268743193895</v>
      </c>
      <c r="AN321" s="81">
        <v>27.559141386689372</v>
      </c>
      <c r="AO321" s="70" t="str">
        <f>IF(head!$F$82="S460","a","c")</f>
        <v>c</v>
      </c>
      <c r="AP321" s="70">
        <f t="shared" si="30"/>
        <v>0.49</v>
      </c>
      <c r="AQ321" s="72">
        <f>IF(head!F$82="S235",235,IF(head!F$82="S275",275,IF(head!F$82="S355",355,IF(head!F$82="S420",420,460))))^0.5*head!$G$70*1000/(S321*3.1416*210000^0.5)</f>
        <v>1.2546984258850353</v>
      </c>
      <c r="AR321" s="72">
        <f t="shared" si="32"/>
        <v>1.5455351843010265</v>
      </c>
      <c r="AS321" s="72">
        <f t="shared" si="33"/>
        <v>0.40849967922631131</v>
      </c>
      <c r="AT321" s="52">
        <f>IF(head!F$82="S235",235,IF(head!F$82="S275",275,IF(head!F$82="S355",355,IF(head!F$82="S420",420,460))))*AS321*J321/1000</f>
        <v>6409.1683344668645</v>
      </c>
      <c r="AU321" s="194">
        <f t="shared" si="34"/>
        <v>1283.0587253436731</v>
      </c>
      <c r="AV321" s="166">
        <f>3.1416*1.13*head!$G$66/(1.4*head!$G$67)*((1+3.1416^2*AU321^2/(1.4*head!$G$67*1000)^2*(0.45^2+1))^0.5+3.1416*0.45*database!AU321/(1.4*head!$G$67*1000))</f>
        <v>31.90607769579972</v>
      </c>
      <c r="AW321" s="166">
        <f>AV321/(head!$G$66*1000)*(210000*database!P321*81000*database!T321)^0.5</f>
        <v>45383023137.772675</v>
      </c>
      <c r="AX321" s="163">
        <f>IF(head!$F$82="S235",database!AF321,(IF(head!$F$82="S275",database!AG321,IF(head!$F$82="S355",database!AH321,IF(head!$F$82="S420",database!AI321,database!AJ321)))))</f>
        <v>1</v>
      </c>
      <c r="AY321" s="166">
        <f t="shared" si="35"/>
        <v>7138786.0393460449</v>
      </c>
      <c r="AZ321" s="212">
        <f>(AY321*VLOOKUP(head!$F$82,head!$L$1:$M$5,2)/AW321)^0.5</f>
        <v>0.23630866575834542</v>
      </c>
      <c r="BA321" s="169" t="str">
        <f t="shared" si="36"/>
        <v>HD 400 x 382</v>
      </c>
    </row>
    <row r="322" spans="1:53">
      <c r="A322" s="98" t="s">
        <v>863</v>
      </c>
      <c r="B322" s="62">
        <f t="shared" si="31"/>
        <v>1.0246305418719213</v>
      </c>
      <c r="C322" s="99">
        <v>416</v>
      </c>
      <c r="D322" s="99">
        <v>406</v>
      </c>
      <c r="E322" s="126">
        <v>29.8</v>
      </c>
      <c r="F322" s="99">
        <v>48</v>
      </c>
      <c r="G322" s="99">
        <v>15</v>
      </c>
      <c r="H322" s="100">
        <v>382.33536197559704</v>
      </c>
      <c r="I322" s="101">
        <v>389.64113322353836</v>
      </c>
      <c r="J322" s="101">
        <v>48705.141652942293</v>
      </c>
      <c r="K322" s="101">
        <v>2.3706477796076939</v>
      </c>
      <c r="L322" s="102">
        <v>1413169757.1377563</v>
      </c>
      <c r="M322" s="101">
        <v>6794085.3708545975</v>
      </c>
      <c r="N322" s="101">
        <v>7964719.5396766337</v>
      </c>
      <c r="O322" s="103">
        <v>170.33730114905924</v>
      </c>
      <c r="P322" s="101">
        <v>536158883.57379156</v>
      </c>
      <c r="Q322" s="101">
        <v>2641176.7663733573</v>
      </c>
      <c r="R322" s="101">
        <v>4030632.1354229748</v>
      </c>
      <c r="S322" s="101">
        <v>104.92025747943831</v>
      </c>
      <c r="T322" s="102">
        <v>32731102.8449772</v>
      </c>
      <c r="U322" s="104">
        <v>17955400897312.199</v>
      </c>
      <c r="V322" s="70">
        <v>1</v>
      </c>
      <c r="W322" s="70">
        <v>1</v>
      </c>
      <c r="X322" s="70">
        <v>1</v>
      </c>
      <c r="Y322" s="70">
        <v>1</v>
      </c>
      <c r="Z322" s="70">
        <v>1</v>
      </c>
      <c r="AA322" s="71">
        <v>1</v>
      </c>
      <c r="AB322" s="70">
        <v>1</v>
      </c>
      <c r="AC322" s="70">
        <v>1</v>
      </c>
      <c r="AD322" s="70">
        <v>1</v>
      </c>
      <c r="AE322" s="70">
        <v>1</v>
      </c>
      <c r="AF322" s="69">
        <v>1</v>
      </c>
      <c r="AG322" s="70">
        <v>1</v>
      </c>
      <c r="AH322" s="70">
        <v>1</v>
      </c>
      <c r="AI322" s="70">
        <v>1</v>
      </c>
      <c r="AJ322" s="70">
        <v>1</v>
      </c>
      <c r="AK322" s="78">
        <v>48.673460319655646</v>
      </c>
      <c r="AL322" s="79">
        <v>40.33758475865163</v>
      </c>
      <c r="AM322" s="80">
        <v>33.754136508104892</v>
      </c>
      <c r="AN322" s="81">
        <v>25.41826094710089</v>
      </c>
      <c r="AO322" s="70" t="str">
        <f>IF(head!$F$82="S460","a","c")</f>
        <v>c</v>
      </c>
      <c r="AP322" s="70">
        <f t="shared" si="30"/>
        <v>0.49</v>
      </c>
      <c r="AQ322" s="72">
        <f>IF(head!F$82="S235",235,IF(head!F$82="S275",275,IF(head!F$82="S355",355,IF(head!F$82="S420",420,460))))^0.5*head!$G$70*1000/(S322*3.1416*210000^0.5)</f>
        <v>1.2473671232378583</v>
      </c>
      <c r="AR322" s="72">
        <f t="shared" si="32"/>
        <v>1.5345673152606203</v>
      </c>
      <c r="AS322" s="72">
        <f t="shared" si="33"/>
        <v>0.41179043127145143</v>
      </c>
      <c r="AT322" s="52">
        <f>IF(head!F$82="S235",235,IF(head!F$82="S275",275,IF(head!F$82="S355",355,IF(head!F$82="S420",420,460))))*AS322*J322/1000</f>
        <v>7119.9905066727952</v>
      </c>
      <c r="AU322" s="194">
        <f t="shared" si="34"/>
        <v>1192.5713497834308</v>
      </c>
      <c r="AV322" s="166">
        <f>3.1416*1.13*head!$G$66/(1.4*head!$G$67)*((1+3.1416^2*AU322^2/(1.4*head!$G$67*1000)^2*(0.45^2+1))^0.5+3.1416*0.45*database!AU322/(1.4*head!$G$67*1000))</f>
        <v>30.147072360485161</v>
      </c>
      <c r="AW322" s="166">
        <f>AV322/(head!$G$66*1000)*(210000*database!P322*81000*database!T322)^0.5</f>
        <v>52086403695.101616</v>
      </c>
      <c r="AX322" s="163">
        <f>IF(head!$F$82="S235",database!AF322,(IF(head!$F$82="S275",database!AG322,IF(head!$F$82="S355",database!AH322,IF(head!$F$82="S420",database!AI322,database!AJ322)))))</f>
        <v>1</v>
      </c>
      <c r="AY322" s="166">
        <f t="shared" si="35"/>
        <v>7964719.5396766337</v>
      </c>
      <c r="AZ322" s="212">
        <f>(AY322*VLOOKUP(head!$F$82,head!$L$1:$M$5,2)/AW322)^0.5</f>
        <v>0.23298997461250154</v>
      </c>
      <c r="BA322" s="169" t="str">
        <f t="shared" si="36"/>
        <v>HD 400 x 421</v>
      </c>
    </row>
    <row r="323" spans="1:53">
      <c r="A323" s="98" t="s">
        <v>864</v>
      </c>
      <c r="B323" s="62">
        <f t="shared" si="31"/>
        <v>1.039119804400978</v>
      </c>
      <c r="C323" s="99">
        <v>425</v>
      </c>
      <c r="D323" s="99">
        <v>409</v>
      </c>
      <c r="E323" s="126">
        <v>32.799999999999997</v>
      </c>
      <c r="F323" s="99">
        <v>52.6</v>
      </c>
      <c r="G323" s="99">
        <v>15</v>
      </c>
      <c r="H323" s="100">
        <v>421.61864597559702</v>
      </c>
      <c r="I323" s="101">
        <v>429.67505322353838</v>
      </c>
      <c r="J323" s="101">
        <v>53709.381652942298</v>
      </c>
      <c r="K323" s="101">
        <v>2.3946477796076939</v>
      </c>
      <c r="L323" s="102">
        <v>1595811519.1220372</v>
      </c>
      <c r="M323" s="101">
        <v>7509701.2664566459</v>
      </c>
      <c r="N323" s="101">
        <v>8880457.113511337</v>
      </c>
      <c r="O323" s="103">
        <v>172.37160345740898</v>
      </c>
      <c r="P323" s="101">
        <v>600814459.98957956</v>
      </c>
      <c r="Q323" s="101">
        <v>2937968.0195089467</v>
      </c>
      <c r="R323" s="101">
        <v>4489318.3559023878</v>
      </c>
      <c r="S323" s="101">
        <v>105.76576427144558</v>
      </c>
      <c r="T323" s="102">
        <v>43206837.102376491</v>
      </c>
      <c r="U323" s="104">
        <v>20583344088092</v>
      </c>
      <c r="V323" s="70">
        <v>1</v>
      </c>
      <c r="W323" s="70">
        <v>1</v>
      </c>
      <c r="X323" s="70">
        <v>1</v>
      </c>
      <c r="Y323" s="70">
        <v>1</v>
      </c>
      <c r="Z323" s="70">
        <v>1</v>
      </c>
      <c r="AA323" s="71">
        <v>1</v>
      </c>
      <c r="AB323" s="70">
        <v>1</v>
      </c>
      <c r="AC323" s="70">
        <v>1</v>
      </c>
      <c r="AD323" s="70">
        <v>1</v>
      </c>
      <c r="AE323" s="70">
        <v>1</v>
      </c>
      <c r="AF323" s="69">
        <v>1</v>
      </c>
      <c r="AG323" s="70">
        <v>1</v>
      </c>
      <c r="AH323" s="70">
        <v>1</v>
      </c>
      <c r="AI323" s="70">
        <v>1</v>
      </c>
      <c r="AJ323" s="70">
        <v>1</v>
      </c>
      <c r="AK323" s="78">
        <v>44.585279254960675</v>
      </c>
      <c r="AL323" s="79">
        <v>36.970222305639155</v>
      </c>
      <c r="AM323" s="80">
        <v>31.05602687400561</v>
      </c>
      <c r="AN323" s="81">
        <v>23.440969924684094</v>
      </c>
      <c r="AO323" s="70" t="str">
        <f>IF(head!$F$82="S460","a","c")</f>
        <v>c</v>
      </c>
      <c r="AP323" s="70">
        <f t="shared" si="30"/>
        <v>0.49</v>
      </c>
      <c r="AQ323" s="72">
        <f>IF(head!F$82="S235",235,IF(head!F$82="S275",275,IF(head!F$82="S355",355,IF(head!F$82="S420",420,460))))^0.5*head!$G$70*1000/(S323*3.1416*210000^0.5)</f>
        <v>1.2373954903367108</v>
      </c>
      <c r="AR323" s="72">
        <f t="shared" si="32"/>
        <v>1.5197356948853087</v>
      </c>
      <c r="AS323" s="72">
        <f t="shared" si="33"/>
        <v>0.41631396998302034</v>
      </c>
      <c r="AT323" s="52">
        <f>IF(head!F$82="S235",235,IF(head!F$82="S275",275,IF(head!F$82="S355",355,IF(head!F$82="S420",420,460))))*AS323*J323/1000</f>
        <v>7937.7878949507085</v>
      </c>
      <c r="AU323" s="194">
        <f t="shared" si="34"/>
        <v>1111.3449163077512</v>
      </c>
      <c r="AV323" s="166">
        <f>3.1416*1.13*head!$G$66/(1.4*head!$G$67)*((1+3.1416^2*AU323^2/(1.4*head!$G$67*1000)^2*(0.45^2+1))^0.5+3.1416*0.45*database!AU323/(1.4*head!$G$67*1000))</f>
        <v>28.591924495996647</v>
      </c>
      <c r="AW323" s="166">
        <f>AV323/(head!$G$66*1000)*(210000*database!P323*81000*database!T323)^0.5</f>
        <v>60081666609.685509</v>
      </c>
      <c r="AX323" s="163">
        <f>IF(head!$F$82="S235",database!AF323,(IF(head!$F$82="S275",database!AG323,IF(head!$F$82="S355",database!AH323,IF(head!$F$82="S420",database!AI323,database!AJ323)))))</f>
        <v>1</v>
      </c>
      <c r="AY323" s="166">
        <f t="shared" si="35"/>
        <v>8880457.113511337</v>
      </c>
      <c r="AZ323" s="212">
        <f>(AY323*VLOOKUP(head!$F$82,head!$L$1:$M$5,2)/AW323)^0.5</f>
        <v>0.22906611575820204</v>
      </c>
      <c r="BA323" s="169" t="str">
        <f t="shared" si="36"/>
        <v>HD 400 x 463</v>
      </c>
    </row>
    <row r="324" spans="1:53">
      <c r="A324" s="98" t="s">
        <v>865</v>
      </c>
      <c r="B324" s="62">
        <f t="shared" si="31"/>
        <v>1.0558252427184467</v>
      </c>
      <c r="C324" s="99">
        <v>435</v>
      </c>
      <c r="D324" s="99">
        <v>412</v>
      </c>
      <c r="E324" s="126">
        <v>35.799999999999997</v>
      </c>
      <c r="F324" s="99">
        <v>57.4</v>
      </c>
      <c r="G324" s="99">
        <v>15</v>
      </c>
      <c r="H324" s="100">
        <v>462.78812797559698</v>
      </c>
      <c r="I324" s="101">
        <v>471.63121322353828</v>
      </c>
      <c r="J324" s="101">
        <v>58953.901652942288</v>
      </c>
      <c r="K324" s="101">
        <v>2.4206477796076937</v>
      </c>
      <c r="L324" s="102">
        <v>1801618322.4196415</v>
      </c>
      <c r="M324" s="101">
        <v>8283302.6318144435</v>
      </c>
      <c r="N324" s="101">
        <v>9877687.6918419264</v>
      </c>
      <c r="O324" s="103">
        <v>174.81356062908253</v>
      </c>
      <c r="P324" s="101">
        <v>670353369.23973906</v>
      </c>
      <c r="Q324" s="101">
        <v>3254142.5691249473</v>
      </c>
      <c r="R324" s="101">
        <v>4978352.4423818011</v>
      </c>
      <c r="S324" s="101">
        <v>106.63398070301628</v>
      </c>
      <c r="T324" s="102">
        <v>56249733.743906997</v>
      </c>
      <c r="U324" s="104">
        <v>23587259213887.398</v>
      </c>
      <c r="V324" s="70">
        <v>1</v>
      </c>
      <c r="W324" s="70">
        <v>1</v>
      </c>
      <c r="X324" s="70">
        <v>1</v>
      </c>
      <c r="Y324" s="70">
        <v>1</v>
      </c>
      <c r="Z324" s="70">
        <v>1</v>
      </c>
      <c r="AA324" s="71">
        <v>1</v>
      </c>
      <c r="AB324" s="70">
        <v>1</v>
      </c>
      <c r="AC324" s="70">
        <v>1</v>
      </c>
      <c r="AD324" s="70">
        <v>1</v>
      </c>
      <c r="AE324" s="70">
        <v>1</v>
      </c>
      <c r="AF324" s="69">
        <v>1</v>
      </c>
      <c r="AG324" s="70">
        <v>1</v>
      </c>
      <c r="AH324" s="70">
        <v>1</v>
      </c>
      <c r="AI324" s="70">
        <v>1</v>
      </c>
      <c r="AJ324" s="70">
        <v>1</v>
      </c>
      <c r="AK324" s="78">
        <v>41.060009799824392</v>
      </c>
      <c r="AL324" s="79">
        <v>34.071498633499615</v>
      </c>
      <c r="AM324" s="80">
        <v>28.734315329500422</v>
      </c>
      <c r="AN324" s="81">
        <v>21.745804163175649</v>
      </c>
      <c r="AO324" s="70" t="str">
        <f>IF(head!$F$82="S460","a","c")</f>
        <v>c</v>
      </c>
      <c r="AP324" s="70">
        <f t="shared" si="30"/>
        <v>0.49</v>
      </c>
      <c r="AQ324" s="72">
        <f>IF(head!F$82="S235",235,IF(head!F$82="S275",275,IF(head!F$82="S355",355,IF(head!F$82="S420",420,460))))^0.5*head!$G$70*1000/(S324*3.1416*210000^0.5)</f>
        <v>1.2273205865398253</v>
      </c>
      <c r="AR324" s="72">
        <f t="shared" si="32"/>
        <v>1.5048514547744876</v>
      </c>
      <c r="AS324" s="72">
        <f t="shared" si="33"/>
        <v>0.42094027919398491</v>
      </c>
      <c r="AT324" s="52">
        <f>IF(head!F$82="S235",235,IF(head!F$82="S275",275,IF(head!F$82="S355",355,IF(head!F$82="S420",420,460))))*AS324*J324/1000</f>
        <v>8809.7054965843108</v>
      </c>
      <c r="AU324" s="194">
        <f t="shared" si="34"/>
        <v>1042.6670330690461</v>
      </c>
      <c r="AV324" s="166">
        <f>3.1416*1.13*head!$G$66/(1.4*head!$G$67)*((1+3.1416^2*AU324^2/(1.4*head!$G$67*1000)^2*(0.45^2+1))^0.5+3.1416*0.45*database!AU324/(1.4*head!$G$67*1000))</f>
        <v>27.297237150524314</v>
      </c>
      <c r="AW324" s="166">
        <f>AV324/(head!$G$66*1000)*(210000*database!P324*81000*database!T324)^0.5</f>
        <v>69132614783.314407</v>
      </c>
      <c r="AX324" s="163">
        <f>IF(head!$F$82="S235",database!AF324,(IF(head!$F$82="S275",database!AG324,IF(head!$F$82="S355",database!AH324,IF(head!$F$82="S420",database!AI324,database!AJ324)))))</f>
        <v>1</v>
      </c>
      <c r="AY324" s="166">
        <f t="shared" si="35"/>
        <v>9877687.6918419264</v>
      </c>
      <c r="AZ324" s="212">
        <f>(AY324*VLOOKUP(head!$F$82,head!$L$1:$M$5,2)/AW324)^0.5</f>
        <v>0.22521656492700978</v>
      </c>
      <c r="BA324" s="169" t="str">
        <f t="shared" si="36"/>
        <v>HD 400 x 509</v>
      </c>
    </row>
    <row r="325" spans="1:53">
      <c r="A325" s="98" t="s">
        <v>866</v>
      </c>
      <c r="B325" s="62">
        <f t="shared" si="31"/>
        <v>1.0721153846153846</v>
      </c>
      <c r="C325" s="99">
        <v>446</v>
      </c>
      <c r="D325" s="99">
        <v>416</v>
      </c>
      <c r="E325" s="126">
        <v>39.1</v>
      </c>
      <c r="F325" s="99">
        <v>62.7</v>
      </c>
      <c r="G325" s="99">
        <v>15</v>
      </c>
      <c r="H325" s="100">
        <v>509.42576297559702</v>
      </c>
      <c r="I325" s="101">
        <v>519.16001322353839</v>
      </c>
      <c r="J325" s="101">
        <v>64895.001652942294</v>
      </c>
      <c r="K325" s="101">
        <v>2.4520477796076938</v>
      </c>
      <c r="L325" s="102">
        <v>2045277482.3401108</v>
      </c>
      <c r="M325" s="101">
        <v>9171647.9028704539</v>
      </c>
      <c r="N325" s="101">
        <v>11032721.161172515</v>
      </c>
      <c r="O325" s="103">
        <v>177.52948555359609</v>
      </c>
      <c r="P325" s="101">
        <v>754008889.14216602</v>
      </c>
      <c r="Q325" s="101">
        <v>3625042.7362604137</v>
      </c>
      <c r="R325" s="101">
        <v>5552262.7656091573</v>
      </c>
      <c r="S325" s="101">
        <v>107.79102681437062</v>
      </c>
      <c r="T325" s="102">
        <v>73582187.522654802</v>
      </c>
      <c r="U325" s="104">
        <v>27306416405672.102</v>
      </c>
      <c r="V325" s="70">
        <v>1</v>
      </c>
      <c r="W325" s="70">
        <v>1</v>
      </c>
      <c r="X325" s="70">
        <v>1</v>
      </c>
      <c r="Y325" s="70">
        <v>1</v>
      </c>
      <c r="Z325" s="70">
        <v>1</v>
      </c>
      <c r="AA325" s="71">
        <v>1</v>
      </c>
      <c r="AB325" s="70">
        <v>1</v>
      </c>
      <c r="AC325" s="70">
        <v>1</v>
      </c>
      <c r="AD325" s="70">
        <v>1</v>
      </c>
      <c r="AE325" s="70">
        <v>1</v>
      </c>
      <c r="AF325" s="69">
        <v>1</v>
      </c>
      <c r="AG325" s="70">
        <v>1</v>
      </c>
      <c r="AH325" s="70">
        <v>1</v>
      </c>
      <c r="AI325" s="70">
        <v>1</v>
      </c>
      <c r="AJ325" s="70">
        <v>1</v>
      </c>
      <c r="AK325" s="78">
        <v>37.784848095408286</v>
      </c>
      <c r="AL325" s="79">
        <v>31.374493069534903</v>
      </c>
      <c r="AM325" s="80">
        <v>26.565990539917571</v>
      </c>
      <c r="AN325" s="81">
        <v>20.155635514044189</v>
      </c>
      <c r="AO325" s="70" t="str">
        <f>IF(head!$F$82="S460","a","c")</f>
        <v>c</v>
      </c>
      <c r="AP325" s="70">
        <f t="shared" si="30"/>
        <v>0.49</v>
      </c>
      <c r="AQ325" s="72">
        <f>IF(head!F$82="S235",235,IF(head!F$82="S275",275,IF(head!F$82="S355",355,IF(head!F$82="S420",420,460))))^0.5*head!$G$70*1000/(S325*3.1416*210000^0.5)</f>
        <v>1.2141463311865799</v>
      </c>
      <c r="AR325" s="72">
        <f t="shared" si="32"/>
        <v>1.4855415079076282</v>
      </c>
      <c r="AS325" s="72">
        <f t="shared" si="33"/>
        <v>0.42707481515075152</v>
      </c>
      <c r="AT325" s="52">
        <f>IF(head!F$82="S235",235,IF(head!F$82="S275",275,IF(head!F$82="S355",355,IF(head!F$82="S420",420,460))))*AS325*J325/1000</f>
        <v>9838.8323964740048</v>
      </c>
      <c r="AU325" s="194">
        <f t="shared" si="34"/>
        <v>980.87382382128351</v>
      </c>
      <c r="AV325" s="166">
        <f>3.1416*1.13*head!$G$66/(1.4*head!$G$67)*((1+3.1416^2*AU325^2/(1.4*head!$G$67*1000)^2*(0.45^2+1))^0.5+3.1416*0.45*database!AU325/(1.4*head!$G$67*1000))</f>
        <v>26.150264365850237</v>
      </c>
      <c r="AW325" s="166">
        <f>AV325/(head!$G$66*1000)*(210000*database!P325*81000*database!T325)^0.5</f>
        <v>80334634271.424728</v>
      </c>
      <c r="AX325" s="163">
        <f>IF(head!$F$82="S235",database!AF325,(IF(head!$F$82="S275",database!AG325,IF(head!$F$82="S355",database!AH325,IF(head!$F$82="S420",database!AI325,database!AJ325)))))</f>
        <v>1</v>
      </c>
      <c r="AY325" s="166">
        <f t="shared" si="35"/>
        <v>11032721.161172515</v>
      </c>
      <c r="AZ325" s="212">
        <f>(AY325*VLOOKUP(head!$F$82,head!$L$1:$M$5,2)/AW325)^0.5</f>
        <v>0.2208025512487948</v>
      </c>
      <c r="BA325" s="169" t="str">
        <f t="shared" si="36"/>
        <v>HD 400 x 551</v>
      </c>
    </row>
    <row r="326" spans="1:53">
      <c r="A326" s="98" t="s">
        <v>867</v>
      </c>
      <c r="B326" s="62">
        <f t="shared" si="31"/>
        <v>1.0885167464114833</v>
      </c>
      <c r="C326" s="99">
        <v>455</v>
      </c>
      <c r="D326" s="99">
        <v>418</v>
      </c>
      <c r="E326" s="126">
        <v>42</v>
      </c>
      <c r="F326" s="99">
        <v>67.599999999999994</v>
      </c>
      <c r="G326" s="99">
        <v>15</v>
      </c>
      <c r="H326" s="100">
        <v>550.58598197559706</v>
      </c>
      <c r="I326" s="101">
        <v>561.10673322353841</v>
      </c>
      <c r="J326" s="101">
        <v>70138.341652942298</v>
      </c>
      <c r="K326" s="101">
        <v>2.4722477796076938</v>
      </c>
      <c r="L326" s="102">
        <v>2261101972.8452373</v>
      </c>
      <c r="M326" s="101">
        <v>9938909.7707482949</v>
      </c>
      <c r="N326" s="101">
        <v>12050776.965511337</v>
      </c>
      <c r="O326" s="103">
        <v>179.54872597371815</v>
      </c>
      <c r="P326" s="101">
        <v>824947349.86685789</v>
      </c>
      <c r="Q326" s="101">
        <v>3947116.5065399893</v>
      </c>
      <c r="R326" s="101">
        <v>6051406.0995059218</v>
      </c>
      <c r="S326" s="101">
        <v>108.45145157741075</v>
      </c>
      <c r="T326" s="102">
        <v>92037721.736378014</v>
      </c>
      <c r="U326" s="104">
        <v>30484606905384.102</v>
      </c>
      <c r="V326" s="70">
        <v>1</v>
      </c>
      <c r="W326" s="70">
        <v>1</v>
      </c>
      <c r="X326" s="70">
        <v>1</v>
      </c>
      <c r="Y326" s="70">
        <v>1</v>
      </c>
      <c r="Z326" s="70">
        <v>1</v>
      </c>
      <c r="AA326" s="71">
        <v>1</v>
      </c>
      <c r="AB326" s="70">
        <v>1</v>
      </c>
      <c r="AC326" s="70">
        <v>1</v>
      </c>
      <c r="AD326" s="70">
        <v>1</v>
      </c>
      <c r="AE326" s="70">
        <v>1</v>
      </c>
      <c r="AF326" s="69">
        <v>1</v>
      </c>
      <c r="AG326" s="70">
        <v>1</v>
      </c>
      <c r="AH326" s="70">
        <v>1</v>
      </c>
      <c r="AI326" s="70">
        <v>1</v>
      </c>
      <c r="AJ326" s="70">
        <v>1</v>
      </c>
      <c r="AK326" s="78">
        <v>35.248164147376635</v>
      </c>
      <c r="AL326" s="79">
        <v>29.288513688739577</v>
      </c>
      <c r="AM326" s="80">
        <v>24.893659571244729</v>
      </c>
      <c r="AN326" s="81">
        <v>18.934009112607676</v>
      </c>
      <c r="AO326" s="70" t="str">
        <f>IF(head!$F$82="S460","a","c")</f>
        <v>c</v>
      </c>
      <c r="AP326" s="70">
        <f t="shared" ref="AP326:AP334" si="37">IF(AO326="a0",0.13,IF(AO326="a",0.21,IF(AO326="b",0.34,IF(AO326="c",0.49,0.76))))</f>
        <v>0.49</v>
      </c>
      <c r="AQ326" s="72">
        <f>IF(head!F$82="S235",235,IF(head!F$82="S275",275,IF(head!F$82="S355",355,IF(head!F$82="S420",420,460))))^0.5*head!$G$70*1000/(S326*3.1416*210000^0.5)</f>
        <v>1.2067526790832002</v>
      </c>
      <c r="AR326" s="72">
        <f t="shared" si="32"/>
        <v>1.4747804206126247</v>
      </c>
      <c r="AS326" s="72">
        <f t="shared" si="33"/>
        <v>0.43055992446390828</v>
      </c>
      <c r="AT326" s="52">
        <f>IF(head!F$82="S235",235,IF(head!F$82="S275",275,IF(head!F$82="S355",355,IF(head!F$82="S420",420,460))))*AS326*J326/1000</f>
        <v>10720.559474860693</v>
      </c>
      <c r="AU326" s="194">
        <f t="shared" si="34"/>
        <v>926.66872881511006</v>
      </c>
      <c r="AV326" s="166">
        <f>3.1416*1.13*head!$G$66/(1.4*head!$G$67)*((1+3.1416^2*AU326^2/(1.4*head!$G$67*1000)^2*(0.45^2+1))^0.5+3.1416*0.45*database!AU326/(1.4*head!$G$67*1000))</f>
        <v>25.159754908272358</v>
      </c>
      <c r="AW326" s="166">
        <f>AV326/(head!$G$66*1000)*(210000*database!P326*81000*database!T326)^0.5</f>
        <v>90417940096.177994</v>
      </c>
      <c r="AX326" s="163">
        <f>IF(head!$F$82="S235",database!AF326,(IF(head!$F$82="S275",database!AG326,IF(head!$F$82="S355",database!AH326,IF(head!$F$82="S420",database!AI326,database!AJ326)))))</f>
        <v>1</v>
      </c>
      <c r="AY326" s="166">
        <f t="shared" si="35"/>
        <v>12050776.965511337</v>
      </c>
      <c r="AZ326" s="212">
        <f>(AY326*VLOOKUP(head!$F$82,head!$L$1:$M$5,2)/AW326)^0.5</f>
        <v>0.21751759685583893</v>
      </c>
      <c r="BA326" s="169" t="str">
        <f t="shared" si="36"/>
        <v>HD 400 x 592</v>
      </c>
    </row>
    <row r="327" spans="1:53">
      <c r="A327" s="98" t="s">
        <v>868</v>
      </c>
      <c r="B327" s="62">
        <f t="shared" si="31"/>
        <v>1.1045130641330165</v>
      </c>
      <c r="C327" s="99">
        <v>465</v>
      </c>
      <c r="D327" s="99">
        <v>421</v>
      </c>
      <c r="E327" s="126">
        <v>45</v>
      </c>
      <c r="F327" s="99">
        <v>72.3</v>
      </c>
      <c r="G327" s="99">
        <v>15</v>
      </c>
      <c r="H327" s="100">
        <v>592.57877197559708</v>
      </c>
      <c r="I327" s="101">
        <v>603.90193322353832</v>
      </c>
      <c r="J327" s="101">
        <v>75487.741652942292</v>
      </c>
      <c r="K327" s="101">
        <v>2.4982477796076936</v>
      </c>
      <c r="L327" s="102">
        <v>2501608024.6906261</v>
      </c>
      <c r="M327" s="101">
        <v>10759604.40727151</v>
      </c>
      <c r="N327" s="101">
        <v>13138296.37800722</v>
      </c>
      <c r="O327" s="103">
        <v>182.04192287927572</v>
      </c>
      <c r="P327" s="101">
        <v>901716087.21742809</v>
      </c>
      <c r="Q327" s="101">
        <v>4283686.8751421766</v>
      </c>
      <c r="R327" s="101">
        <v>6574457.4619853357</v>
      </c>
      <c r="S327" s="101">
        <v>109.29409353787103</v>
      </c>
      <c r="T327" s="102">
        <v>112949783.801818</v>
      </c>
      <c r="U327" s="104">
        <v>34196606768168.5</v>
      </c>
      <c r="V327" s="70">
        <v>1</v>
      </c>
      <c r="W327" s="70">
        <v>1</v>
      </c>
      <c r="X327" s="70">
        <v>1</v>
      </c>
      <c r="Y327" s="70">
        <v>1</v>
      </c>
      <c r="Z327" s="70">
        <v>1</v>
      </c>
      <c r="AA327" s="71">
        <v>1</v>
      </c>
      <c r="AB327" s="70">
        <v>1</v>
      </c>
      <c r="AC327" s="70">
        <v>1</v>
      </c>
      <c r="AD327" s="70">
        <v>1</v>
      </c>
      <c r="AE327" s="70">
        <v>1</v>
      </c>
      <c r="AF327" s="69">
        <v>1</v>
      </c>
      <c r="AG327" s="70">
        <v>1</v>
      </c>
      <c r="AH327" s="70">
        <v>1</v>
      </c>
      <c r="AI327" s="70">
        <v>1</v>
      </c>
      <c r="AJ327" s="70">
        <v>1</v>
      </c>
      <c r="AK327" s="78">
        <v>33.094747900837746</v>
      </c>
      <c r="AL327" s="79">
        <v>27.517683455916828</v>
      </c>
      <c r="AM327" s="80">
        <v>23.474009967695629</v>
      </c>
      <c r="AN327" s="81">
        <v>17.896945522774718</v>
      </c>
      <c r="AO327" s="70" t="str">
        <f>IF(head!$F$82="S460","a","c")</f>
        <v>c</v>
      </c>
      <c r="AP327" s="70">
        <f t="shared" si="37"/>
        <v>0.49</v>
      </c>
      <c r="AQ327" s="72">
        <f>IF(head!F$82="S235",235,IF(head!F$82="S275",275,IF(head!F$82="S355",355,IF(head!F$82="S420",420,460))))^0.5*head!$G$70*1000/(S327*3.1416*210000^0.5)</f>
        <v>1.1974487870760713</v>
      </c>
      <c r="AR327" s="72">
        <f t="shared" si="32"/>
        <v>1.4613167516686145</v>
      </c>
      <c r="AS327" s="72">
        <f t="shared" si="33"/>
        <v>0.43498868761298676</v>
      </c>
      <c r="AT327" s="52">
        <f>IF(head!F$82="S235",235,IF(head!F$82="S275",275,IF(head!F$82="S355",355,IF(head!F$82="S420",420,460))))*AS327*J327/1000</f>
        <v>11656.891353730956</v>
      </c>
      <c r="AU327" s="194">
        <f t="shared" si="34"/>
        <v>885.96373048655937</v>
      </c>
      <c r="AV327" s="166">
        <f>3.1416*1.13*head!$G$66/(1.4*head!$G$67)*((1+3.1416^2*AU327^2/(1.4*head!$G$67*1000)^2*(0.45^2+1))^0.5+3.1416*0.45*database!AU327/(1.4*head!$G$67*1000))</f>
        <v>24.42648687730291</v>
      </c>
      <c r="AW327" s="166">
        <f>AV327/(head!$G$66*1000)*(210000*database!P327*81000*database!T327)^0.5</f>
        <v>101669520911.7545</v>
      </c>
      <c r="AX327" s="163">
        <f>IF(head!$F$82="S235",database!AF327,(IF(head!$F$82="S275",database!AG327,IF(head!$F$82="S355",database!AH327,IF(head!$F$82="S420",database!AI327,database!AJ327)))))</f>
        <v>1</v>
      </c>
      <c r="AY327" s="166">
        <f t="shared" si="35"/>
        <v>13138296.37800722</v>
      </c>
      <c r="AZ327" s="212">
        <f>(AY327*VLOOKUP(head!$F$82,head!$L$1:$M$5,2)/AW327)^0.5</f>
        <v>0.21418463634877974</v>
      </c>
      <c r="BA327" s="169" t="str">
        <f t="shared" si="36"/>
        <v>HD 400 x 634</v>
      </c>
    </row>
    <row r="328" spans="1:53">
      <c r="A328" s="98" t="s">
        <v>869</v>
      </c>
      <c r="B328" s="62">
        <f t="shared" si="31"/>
        <v>1.1179245283018868</v>
      </c>
      <c r="C328" s="99">
        <v>474</v>
      </c>
      <c r="D328" s="99">
        <v>424</v>
      </c>
      <c r="E328" s="126">
        <v>47.6</v>
      </c>
      <c r="F328" s="99">
        <v>77.099999999999994</v>
      </c>
      <c r="G328" s="99">
        <v>15</v>
      </c>
      <c r="H328" s="100">
        <v>634.25190997559707</v>
      </c>
      <c r="I328" s="101">
        <v>646.3713732235384</v>
      </c>
      <c r="J328" s="101">
        <v>80796.421652942299</v>
      </c>
      <c r="K328" s="101">
        <v>2.523047779607694</v>
      </c>
      <c r="L328" s="102">
        <v>2741711671.7321706</v>
      </c>
      <c r="M328" s="101">
        <v>11568403.678194813</v>
      </c>
      <c r="N328" s="101">
        <v>14222093.261511337</v>
      </c>
      <c r="O328" s="103">
        <v>184.2106890050087</v>
      </c>
      <c r="P328" s="101">
        <v>982509667.97838342</v>
      </c>
      <c r="Q328" s="101">
        <v>4634479.56593577</v>
      </c>
      <c r="R328" s="101">
        <v>7116756.2081341613</v>
      </c>
      <c r="S328" s="101">
        <v>110.27380312596497</v>
      </c>
      <c r="T328" s="102">
        <v>136819844.798094</v>
      </c>
      <c r="U328" s="104">
        <v>38029428909373.602</v>
      </c>
      <c r="V328" s="70">
        <v>1</v>
      </c>
      <c r="W328" s="70">
        <v>1</v>
      </c>
      <c r="X328" s="70">
        <v>1</v>
      </c>
      <c r="Y328" s="70">
        <v>1</v>
      </c>
      <c r="Z328" s="70">
        <v>1</v>
      </c>
      <c r="AA328" s="71">
        <v>1</v>
      </c>
      <c r="AB328" s="70">
        <v>1</v>
      </c>
      <c r="AC328" s="70">
        <v>1</v>
      </c>
      <c r="AD328" s="70">
        <v>1</v>
      </c>
      <c r="AE328" s="70">
        <v>1</v>
      </c>
      <c r="AF328" s="69">
        <v>1</v>
      </c>
      <c r="AG328" s="70">
        <v>1</v>
      </c>
      <c r="AH328" s="70">
        <v>1</v>
      </c>
      <c r="AI328" s="70">
        <v>1</v>
      </c>
      <c r="AJ328" s="70">
        <v>1</v>
      </c>
      <c r="AK328" s="78">
        <v>31.227221800061169</v>
      </c>
      <c r="AL328" s="79">
        <v>25.97946464292772</v>
      </c>
      <c r="AM328" s="80">
        <v>22.228707203329428</v>
      </c>
      <c r="AN328" s="81">
        <v>16.980950046195975</v>
      </c>
      <c r="AO328" s="70" t="str">
        <f>IF(head!$F$82="S460","a","c")</f>
        <v>c</v>
      </c>
      <c r="AP328" s="70">
        <f t="shared" si="37"/>
        <v>0.49</v>
      </c>
      <c r="AQ328" s="72">
        <f>IF(head!F$82="S235",235,IF(head!F$82="S275",275,IF(head!F$82="S355",355,IF(head!F$82="S420",420,460))))^0.5*head!$G$70*1000/(S328*3.1416*210000^0.5)</f>
        <v>1.1868102489582755</v>
      </c>
      <c r="AR328" s="72">
        <f t="shared" si="32"/>
        <v>1.4460277945109794</v>
      </c>
      <c r="AS328" s="72">
        <f t="shared" si="33"/>
        <v>0.44011179811714851</v>
      </c>
      <c r="AT328" s="52">
        <f>IF(head!F$82="S235",235,IF(head!F$82="S275",275,IF(head!F$82="S355",355,IF(head!F$82="S420",420,460))))*AS328*J328/1000</f>
        <v>12623.607737363251</v>
      </c>
      <c r="AU328" s="194">
        <f t="shared" si="34"/>
        <v>848.89210209286887</v>
      </c>
      <c r="AV328" s="166">
        <f>3.1416*1.13*head!$G$66/(1.4*head!$G$67)*((1+3.1416^2*AU328^2/(1.4*head!$G$67*1000)^2*(0.45^2+1))^0.5+3.1416*0.45*database!AU328/(1.4*head!$G$67*1000))</f>
        <v>23.767203862629248</v>
      </c>
      <c r="AW328" s="166">
        <f>AV328/(head!$G$66*1000)*(210000*database!P328*81000*database!T328)^0.5</f>
        <v>113650986856.95082</v>
      </c>
      <c r="AX328" s="163">
        <f>IF(head!$F$82="S235",database!AF328,(IF(head!$F$82="S275",database!AG328,IF(head!$F$82="S355",database!AH328,IF(head!$F$82="S420",database!AI328,database!AJ328)))))</f>
        <v>1</v>
      </c>
      <c r="AY328" s="166">
        <f t="shared" si="35"/>
        <v>14222093.261511337</v>
      </c>
      <c r="AZ328" s="212">
        <f>(AY328*VLOOKUP(head!$F$82,head!$L$1:$M$5,2)/AW328)^0.5</f>
        <v>0.21077026038456739</v>
      </c>
      <c r="BA328" s="169" t="str">
        <f t="shared" si="36"/>
        <v>HD 400 x 677</v>
      </c>
    </row>
    <row r="329" spans="1:53">
      <c r="A329" s="98" t="s">
        <v>870</v>
      </c>
      <c r="B329" s="62">
        <f t="shared" si="31"/>
        <v>1.1285046728971964</v>
      </c>
      <c r="C329" s="99">
        <v>483</v>
      </c>
      <c r="D329" s="99">
        <v>428</v>
      </c>
      <c r="E329" s="126">
        <v>51.2</v>
      </c>
      <c r="F329" s="99">
        <v>81.5</v>
      </c>
      <c r="G329" s="99">
        <v>15</v>
      </c>
      <c r="H329" s="100">
        <v>677.77796197559701</v>
      </c>
      <c r="I329" s="101">
        <v>690.72913322353838</v>
      </c>
      <c r="J329" s="101">
        <v>86341.1416529423</v>
      </c>
      <c r="K329" s="101">
        <v>2.5498477796076937</v>
      </c>
      <c r="L329" s="102">
        <v>2994695445.4710894</v>
      </c>
      <c r="M329" s="101">
        <v>12400395.219341984</v>
      </c>
      <c r="N329" s="101">
        <v>15346098.539676633</v>
      </c>
      <c r="O329" s="103">
        <v>186.23763056001982</v>
      </c>
      <c r="P329" s="101">
        <v>1068713260.2730219</v>
      </c>
      <c r="Q329" s="101">
        <v>4993987.1975374855</v>
      </c>
      <c r="R329" s="101">
        <v>7680054.7511094576</v>
      </c>
      <c r="S329" s="101">
        <v>111.25555526274871</v>
      </c>
      <c r="T329" s="102">
        <v>163548798.080246</v>
      </c>
      <c r="U329" s="104">
        <v>42243255273690.5</v>
      </c>
      <c r="V329" s="70">
        <v>1</v>
      </c>
      <c r="W329" s="70">
        <v>1</v>
      </c>
      <c r="X329" s="70">
        <v>1</v>
      </c>
      <c r="Y329" s="70">
        <v>1</v>
      </c>
      <c r="Z329" s="70">
        <v>1</v>
      </c>
      <c r="AA329" s="71">
        <v>1</v>
      </c>
      <c r="AB329" s="70">
        <v>1</v>
      </c>
      <c r="AC329" s="70">
        <v>1</v>
      </c>
      <c r="AD329" s="70">
        <v>1</v>
      </c>
      <c r="AE329" s="70">
        <v>1</v>
      </c>
      <c r="AF329" s="69">
        <v>1</v>
      </c>
      <c r="AG329" s="70">
        <v>1</v>
      </c>
      <c r="AH329" s="70">
        <v>1</v>
      </c>
      <c r="AI329" s="70">
        <v>1</v>
      </c>
      <c r="AJ329" s="70">
        <v>1</v>
      </c>
      <c r="AK329" s="78">
        <v>29.53224535595194</v>
      </c>
      <c r="AL329" s="79">
        <v>24.575164735911109</v>
      </c>
      <c r="AM329" s="80">
        <v>21.102338527370058</v>
      </c>
      <c r="AN329" s="81">
        <v>16.145257907329231</v>
      </c>
      <c r="AO329" s="70" t="str">
        <f>IF(head!$F$82="S460","a","c")</f>
        <v>c</v>
      </c>
      <c r="AP329" s="70">
        <f t="shared" si="37"/>
        <v>0.49</v>
      </c>
      <c r="AQ329" s="72">
        <f>IF(head!F$82="S235",235,IF(head!F$82="S275",275,IF(head!F$82="S355",355,IF(head!F$82="S420",420,460))))^0.5*head!$G$70*1000/(S329*3.1416*210000^0.5)</f>
        <v>1.1763374820468173</v>
      </c>
      <c r="AR329" s="72">
        <f t="shared" si="32"/>
        <v>1.4310876189355932</v>
      </c>
      <c r="AS329" s="72">
        <f t="shared" si="33"/>
        <v>0.44521655128987103</v>
      </c>
      <c r="AT329" s="52">
        <f>IF(head!F$82="S235",235,IF(head!F$82="S275",275,IF(head!F$82="S355",355,IF(head!F$82="S420",420,460))))*AS329*J329/1000</f>
        <v>13646.379389009389</v>
      </c>
      <c r="AU329" s="194">
        <f t="shared" si="34"/>
        <v>818.31808319617596</v>
      </c>
      <c r="AV329" s="166">
        <f>3.1416*1.13*head!$G$66/(1.4*head!$G$67)*((1+3.1416^2*AU329^2/(1.4*head!$G$67*1000)^2*(0.45^2+1))^0.5+3.1416*0.45*database!AU329/(1.4*head!$G$67*1000))</f>
        <v>23.230015218111451</v>
      </c>
      <c r="AW329" s="166">
        <f>AV329/(head!$G$66*1000)*(210000*database!P329*81000*database!T329)^0.5</f>
        <v>126664796157.7114</v>
      </c>
      <c r="AX329" s="163">
        <f>IF(head!$F$82="S235",database!AF329,(IF(head!$F$82="S275",database!AG329,IF(head!$F$82="S355",database!AH329,IF(head!$F$82="S420",database!AI329,database!AJ329)))))</f>
        <v>1</v>
      </c>
      <c r="AY329" s="166">
        <f t="shared" si="35"/>
        <v>15346098.539676633</v>
      </c>
      <c r="AZ329" s="212">
        <f>(AY329*VLOOKUP(head!$F$82,head!$L$1:$M$5,2)/AW329)^0.5</f>
        <v>0.2073887545615348</v>
      </c>
      <c r="BA329" s="169" t="str">
        <f t="shared" si="36"/>
        <v>HD 400 x 744</v>
      </c>
    </row>
    <row r="330" spans="1:53">
      <c r="A330" s="98" t="s">
        <v>871</v>
      </c>
      <c r="B330" s="62">
        <f t="shared" si="31"/>
        <v>1.1527777777777777</v>
      </c>
      <c r="C330" s="99">
        <v>498</v>
      </c>
      <c r="D330" s="99">
        <v>432</v>
      </c>
      <c r="E330" s="126">
        <v>55.6</v>
      </c>
      <c r="F330" s="99">
        <v>88.9</v>
      </c>
      <c r="G330" s="99">
        <v>15</v>
      </c>
      <c r="H330" s="100">
        <v>744.22601397559697</v>
      </c>
      <c r="I330" s="101">
        <v>758.44689322353838</v>
      </c>
      <c r="J330" s="101">
        <v>94805.861652942302</v>
      </c>
      <c r="K330" s="101">
        <v>2.5870477796076941</v>
      </c>
      <c r="L330" s="102">
        <v>3421211501.4461756</v>
      </c>
      <c r="M330" s="101">
        <v>13739805.226691466</v>
      </c>
      <c r="N330" s="101">
        <v>17166818.289841928</v>
      </c>
      <c r="O330" s="103">
        <v>189.96446411303074</v>
      </c>
      <c r="P330" s="101">
        <v>1199318164.1104372</v>
      </c>
      <c r="Q330" s="101">
        <v>5552398.9079186907</v>
      </c>
      <c r="R330" s="101">
        <v>8548916.6307459325</v>
      </c>
      <c r="S330" s="101">
        <v>112.47334483641733</v>
      </c>
      <c r="T330" s="102">
        <v>212385660.12576699</v>
      </c>
      <c r="U330" s="104">
        <v>49118635442242.203</v>
      </c>
      <c r="V330" s="70">
        <v>1</v>
      </c>
      <c r="W330" s="70">
        <v>1</v>
      </c>
      <c r="X330" s="70">
        <v>1</v>
      </c>
      <c r="Y330" s="70">
        <v>1</v>
      </c>
      <c r="Z330" s="70">
        <v>1</v>
      </c>
      <c r="AA330" s="71">
        <v>1</v>
      </c>
      <c r="AB330" s="70">
        <v>1</v>
      </c>
      <c r="AC330" s="70">
        <v>1</v>
      </c>
      <c r="AD330" s="70">
        <v>1</v>
      </c>
      <c r="AE330" s="70">
        <v>1</v>
      </c>
      <c r="AF330" s="69">
        <v>1</v>
      </c>
      <c r="AG330" s="70">
        <v>1</v>
      </c>
      <c r="AH330" s="70">
        <v>1</v>
      </c>
      <c r="AI330" s="70">
        <v>1</v>
      </c>
      <c r="AJ330" s="70">
        <v>1</v>
      </c>
      <c r="AK330" s="78">
        <v>27.287846284000363</v>
      </c>
      <c r="AL330" s="79">
        <v>22.731166006345898</v>
      </c>
      <c r="AM330" s="80">
        <v>19.619040084345617</v>
      </c>
      <c r="AN330" s="81">
        <v>15.06235980669115</v>
      </c>
      <c r="AO330" s="70" t="str">
        <f>IF(head!$F$82="S460","a","c")</f>
        <v>c</v>
      </c>
      <c r="AP330" s="70">
        <f t="shared" si="37"/>
        <v>0.49</v>
      </c>
      <c r="AQ330" s="72">
        <f>IF(head!F$82="S235",235,IF(head!F$82="S275",275,IF(head!F$82="S355",355,IF(head!F$82="S420",420,460))))^0.5*head!$G$70*1000/(S330*3.1416*210000^0.5)</f>
        <v>1.163600850777998</v>
      </c>
      <c r="AR330" s="72">
        <f t="shared" si="32"/>
        <v>1.4130656784062499</v>
      </c>
      <c r="AS330" s="72">
        <f t="shared" si="33"/>
        <v>0.45150679737929</v>
      </c>
      <c r="AT330" s="52">
        <f>IF(head!F$82="S235",235,IF(head!F$82="S275",275,IF(head!F$82="S355",355,IF(head!F$82="S420",420,460))))*AS330*J330/1000</f>
        <v>15195.949293534926</v>
      </c>
      <c r="AU330" s="194">
        <f t="shared" si="34"/>
        <v>774.33285929303884</v>
      </c>
      <c r="AV330" s="166">
        <f>3.1416*1.13*head!$G$66/(1.4*head!$G$67)*((1+3.1416^2*AU330^2/(1.4*head!$G$67*1000)^2*(0.45^2+1))^0.5+3.1416*0.45*database!AU330/(1.4*head!$G$67*1000))</f>
        <v>22.468299467242847</v>
      </c>
      <c r="AW330" s="166">
        <f>AV330/(head!$G$66*1000)*(210000*database!P330*81000*database!T330)^0.5</f>
        <v>147894547002.59171</v>
      </c>
      <c r="AX330" s="163">
        <f>IF(head!$F$82="S235",database!AF330,(IF(head!$F$82="S275",database!AG330,IF(head!$F$82="S355",database!AH330,IF(head!$F$82="S420",database!AI330,database!AJ330)))))</f>
        <v>1</v>
      </c>
      <c r="AY330" s="166">
        <f t="shared" si="35"/>
        <v>17166818.289841928</v>
      </c>
      <c r="AZ330" s="212">
        <f>(AY330*VLOOKUP(head!$F$82,head!$L$1:$M$5,2)/AW330)^0.5</f>
        <v>0.20299390625541094</v>
      </c>
      <c r="BA330" s="169" t="str">
        <f t="shared" si="36"/>
        <v>HD 400 x 818</v>
      </c>
    </row>
    <row r="331" spans="1:53">
      <c r="A331" s="98" t="s">
        <v>872</v>
      </c>
      <c r="B331" s="62">
        <f t="shared" si="31"/>
        <v>1.1762013729977117</v>
      </c>
      <c r="C331" s="99">
        <v>514</v>
      </c>
      <c r="D331" s="99">
        <v>437</v>
      </c>
      <c r="E331" s="126">
        <v>60.5</v>
      </c>
      <c r="F331" s="99">
        <v>97</v>
      </c>
      <c r="G331" s="99">
        <v>15</v>
      </c>
      <c r="H331" s="100">
        <v>818.999461975597</v>
      </c>
      <c r="I331" s="101">
        <v>834.64913322353834</v>
      </c>
      <c r="J331" s="101">
        <v>104331.1416529423</v>
      </c>
      <c r="K331" s="101">
        <v>2.6292477796076938</v>
      </c>
      <c r="L331" s="102">
        <v>3921909803.1377559</v>
      </c>
      <c r="M331" s="101">
        <v>15260349.428551579</v>
      </c>
      <c r="N331" s="101">
        <v>19255268.539676633</v>
      </c>
      <c r="O331" s="103">
        <v>193.8839329654308</v>
      </c>
      <c r="P331" s="101">
        <v>1355288943.990397</v>
      </c>
      <c r="Q331" s="101">
        <v>6202695.3958370583</v>
      </c>
      <c r="R331" s="101">
        <v>9561306.15979564</v>
      </c>
      <c r="S331" s="101">
        <v>113.97483388333497</v>
      </c>
      <c r="T331" s="102">
        <v>276668637.65667403</v>
      </c>
      <c r="U331" s="104">
        <v>57532855427862</v>
      </c>
      <c r="V331" s="70">
        <v>1</v>
      </c>
      <c r="W331" s="70">
        <v>1</v>
      </c>
      <c r="X331" s="70">
        <v>1</v>
      </c>
      <c r="Y331" s="70">
        <v>1</v>
      </c>
      <c r="Z331" s="70">
        <v>1</v>
      </c>
      <c r="AA331" s="71">
        <v>1</v>
      </c>
      <c r="AB331" s="70">
        <v>1</v>
      </c>
      <c r="AC331" s="70">
        <v>1</v>
      </c>
      <c r="AD331" s="70">
        <v>1</v>
      </c>
      <c r="AE331" s="70">
        <v>1</v>
      </c>
      <c r="AF331" s="69">
        <v>1</v>
      </c>
      <c r="AG331" s="70">
        <v>1</v>
      </c>
      <c r="AH331" s="70">
        <v>1</v>
      </c>
      <c r="AI331" s="70">
        <v>1</v>
      </c>
      <c r="AJ331" s="70">
        <v>1</v>
      </c>
      <c r="AK331" s="78">
        <v>25.200987336589208</v>
      </c>
      <c r="AL331" s="79">
        <v>21.012400946403989</v>
      </c>
      <c r="AM331" s="80">
        <v>18.230414906481194</v>
      </c>
      <c r="AN331" s="81">
        <v>14.041828516295976</v>
      </c>
      <c r="AO331" s="70" t="str">
        <f>IF(head!$F$82="S460","a","c")</f>
        <v>c</v>
      </c>
      <c r="AP331" s="70">
        <f t="shared" si="37"/>
        <v>0.49</v>
      </c>
      <c r="AQ331" s="72">
        <f>IF(head!F$82="S235",235,IF(head!F$82="S275",275,IF(head!F$82="S355",355,IF(head!F$82="S420",420,460))))^0.5*head!$G$70*1000/(S331*3.1416*210000^0.5)</f>
        <v>1.1482717305424242</v>
      </c>
      <c r="AR331" s="72">
        <f t="shared" si="32"/>
        <v>1.3915905575643408</v>
      </c>
      <c r="AS331" s="72">
        <f t="shared" si="33"/>
        <v>0.45919628370703458</v>
      </c>
      <c r="AT331" s="52">
        <f>IF(head!F$82="S235",235,IF(head!F$82="S275",275,IF(head!F$82="S355",355,IF(head!F$82="S420",420,460))))*AS331*J331/1000</f>
        <v>17007.507745289873</v>
      </c>
      <c r="AU331" s="194">
        <f t="shared" si="34"/>
        <v>734.25199755078563</v>
      </c>
      <c r="AV331" s="166">
        <f>3.1416*1.13*head!$G$66/(1.4*head!$G$67)*((1+3.1416^2*AU331^2/(1.4*head!$G$67*1000)^2*(0.45^2+1))^0.5+3.1416*0.45*database!AU331/(1.4*head!$G$67*1000))</f>
        <v>21.786446201539544</v>
      </c>
      <c r="AW331" s="166">
        <f>AV331/(head!$G$66*1000)*(210000*database!P331*81000*database!T331)^0.5</f>
        <v>173994076938.29172</v>
      </c>
      <c r="AX331" s="163">
        <f>IF(head!$F$82="S235",database!AF331,(IF(head!$F$82="S275",database!AG331,IF(head!$F$82="S355",database!AH331,IF(head!$F$82="S420",database!AI331,database!AJ331)))))</f>
        <v>1</v>
      </c>
      <c r="AY331" s="166">
        <f t="shared" si="35"/>
        <v>19255268.539676633</v>
      </c>
      <c r="AZ331" s="212">
        <f>(AY331*VLOOKUP(head!$F$82,head!$L$1:$M$5,2)/AW331)^0.5</f>
        <v>0.19820825324712416</v>
      </c>
      <c r="BA331" s="169" t="str">
        <f t="shared" si="36"/>
        <v>HD 400 x 900</v>
      </c>
    </row>
    <row r="332" spans="1:53">
      <c r="A332" s="98" t="s">
        <v>873</v>
      </c>
      <c r="B332" s="62">
        <f t="shared" si="31"/>
        <v>1.2013574660633484</v>
      </c>
      <c r="C332" s="99">
        <v>531</v>
      </c>
      <c r="D332" s="99">
        <v>442</v>
      </c>
      <c r="E332" s="126">
        <v>65.900000000000006</v>
      </c>
      <c r="F332" s="99">
        <v>106</v>
      </c>
      <c r="G332" s="99">
        <v>15</v>
      </c>
      <c r="H332" s="100">
        <v>902.1160469755971</v>
      </c>
      <c r="I332" s="101">
        <v>919.35393322353843</v>
      </c>
      <c r="J332" s="101">
        <v>114919.24165294231</v>
      </c>
      <c r="K332" s="101">
        <v>2.6724477796076935</v>
      </c>
      <c r="L332" s="102">
        <v>4502039423.7251596</v>
      </c>
      <c r="M332" s="101">
        <v>16956833.987665385</v>
      </c>
      <c r="N332" s="101">
        <v>21618771.443850163</v>
      </c>
      <c r="O332" s="103">
        <v>197.92847164036868</v>
      </c>
      <c r="P332" s="101">
        <v>1533396306.1643605</v>
      </c>
      <c r="Q332" s="101">
        <v>6938444.8242731243</v>
      </c>
      <c r="R332" s="101">
        <v>10707642.239758583</v>
      </c>
      <c r="S332" s="101">
        <v>115.51299136700159</v>
      </c>
      <c r="T332" s="102">
        <v>361637519.331653</v>
      </c>
      <c r="U332" s="104">
        <v>67421067605640.102</v>
      </c>
      <c r="V332" s="70">
        <v>1</v>
      </c>
      <c r="W332" s="70">
        <v>1</v>
      </c>
      <c r="X332" s="70">
        <v>1</v>
      </c>
      <c r="Y332" s="70">
        <v>1</v>
      </c>
      <c r="Z332" s="70">
        <v>1</v>
      </c>
      <c r="AA332" s="71">
        <v>1</v>
      </c>
      <c r="AB332" s="70">
        <v>1</v>
      </c>
      <c r="AC332" s="70">
        <v>1</v>
      </c>
      <c r="AD332" s="70">
        <v>1</v>
      </c>
      <c r="AE332" s="70">
        <v>1</v>
      </c>
      <c r="AF332" s="69">
        <v>1</v>
      </c>
      <c r="AG332" s="70">
        <v>1</v>
      </c>
      <c r="AH332" s="70">
        <v>1</v>
      </c>
      <c r="AI332" s="70">
        <v>1</v>
      </c>
      <c r="AJ332" s="70">
        <v>1</v>
      </c>
      <c r="AK332" s="78">
        <v>23.255007091662879</v>
      </c>
      <c r="AL332" s="79">
        <v>19.408827864907746</v>
      </c>
      <c r="AM332" s="80">
        <v>16.93363071327034</v>
      </c>
      <c r="AN332" s="81">
        <v>13.087451486515207</v>
      </c>
      <c r="AO332" s="70" t="str">
        <f>IF(head!$F$82="S460","a","c")</f>
        <v>c</v>
      </c>
      <c r="AP332" s="70">
        <f t="shared" si="37"/>
        <v>0.49</v>
      </c>
      <c r="AQ332" s="72">
        <f>IF(head!F$82="S235",235,IF(head!F$82="S275",275,IF(head!F$82="S355",355,IF(head!F$82="S420",420,460))))^0.5*head!$G$70*1000/(S332*3.1416*210000^0.5)</f>
        <v>1.1329814784702124</v>
      </c>
      <c r="AR332" s="72">
        <f t="shared" si="32"/>
        <v>1.370403977503476</v>
      </c>
      <c r="AS332" s="72">
        <f t="shared" si="33"/>
        <v>0.46699480005057303</v>
      </c>
      <c r="AT332" s="52">
        <f>IF(head!F$82="S235",235,IF(head!F$82="S275",275,IF(head!F$82="S355",355,IF(head!F$82="S420",420,460))))*AS332*J332/1000</f>
        <v>19051.67433857614</v>
      </c>
      <c r="AU332" s="194">
        <f t="shared" si="34"/>
        <v>695.22952875554915</v>
      </c>
      <c r="AV332" s="166">
        <f>3.1416*1.13*head!$G$66/(1.4*head!$G$67)*((1+3.1416^2*AU332^2/(1.4*head!$G$67*1000)^2*(0.45^2+1))^0.5+3.1416*0.45*database!AU332/(1.4*head!$G$67*1000))</f>
        <v>21.134698528773715</v>
      </c>
      <c r="AW332" s="166">
        <f>AV332/(head!$G$66*1000)*(210000*database!P332*81000*database!T332)^0.5</f>
        <v>205263703871.99231</v>
      </c>
      <c r="AX332" s="163">
        <f>IF(head!$F$82="S235",database!AF332,(IF(head!$F$82="S275",database!AG332,IF(head!$F$82="S355",database!AH332,IF(head!$F$82="S420",database!AI332,database!AJ332)))))</f>
        <v>1</v>
      </c>
      <c r="AY332" s="166">
        <f t="shared" si="35"/>
        <v>21618771.443850163</v>
      </c>
      <c r="AZ332" s="212">
        <f>(AY332*VLOOKUP(head!$F$82,head!$L$1:$M$5,2)/AW332)^0.5</f>
        <v>0.19336310040190632</v>
      </c>
      <c r="BA332" s="169" t="str">
        <f t="shared" si="36"/>
        <v>HD 400 x 990</v>
      </c>
    </row>
    <row r="333" spans="1:53">
      <c r="A333" s="98" t="s">
        <v>874</v>
      </c>
      <c r="B333" s="62">
        <f t="shared" si="31"/>
        <v>1.2276785714285714</v>
      </c>
      <c r="C333" s="99">
        <v>550</v>
      </c>
      <c r="D333" s="99">
        <v>448</v>
      </c>
      <c r="E333" s="126">
        <v>71.900000000000006</v>
      </c>
      <c r="F333" s="99">
        <v>115</v>
      </c>
      <c r="G333" s="99">
        <v>15</v>
      </c>
      <c r="H333" s="100">
        <v>990.99296197559704</v>
      </c>
      <c r="I333" s="101">
        <v>1009.9291332235384</v>
      </c>
      <c r="J333" s="101">
        <v>126241.1416529423</v>
      </c>
      <c r="K333" s="101">
        <v>2.7224477796076934</v>
      </c>
      <c r="L333" s="102">
        <v>5189070642.4710903</v>
      </c>
      <c r="M333" s="101">
        <v>18869347.790803965</v>
      </c>
      <c r="N333" s="101">
        <v>24282095.539676633</v>
      </c>
      <c r="O333" s="103">
        <v>202.74228404818635</v>
      </c>
      <c r="P333" s="101">
        <v>1733590053.3577051</v>
      </c>
      <c r="Q333" s="101">
        <v>7739241.3096326124</v>
      </c>
      <c r="R333" s="101">
        <v>11961639.36721741</v>
      </c>
      <c r="S333" s="101">
        <v>117.18519486984083</v>
      </c>
      <c r="T333" s="102">
        <v>465624073.16870499</v>
      </c>
      <c r="U333" s="104">
        <v>79554902606007.094</v>
      </c>
      <c r="V333" s="70">
        <v>1</v>
      </c>
      <c r="W333" s="70">
        <v>1</v>
      </c>
      <c r="X333" s="70">
        <v>1</v>
      </c>
      <c r="Y333" s="70">
        <v>1</v>
      </c>
      <c r="Z333" s="70">
        <v>1</v>
      </c>
      <c r="AA333" s="71">
        <v>1</v>
      </c>
      <c r="AB333" s="70">
        <v>1</v>
      </c>
      <c r="AC333" s="70">
        <v>1</v>
      </c>
      <c r="AD333" s="70">
        <v>1</v>
      </c>
      <c r="AE333" s="70">
        <v>1</v>
      </c>
      <c r="AF333" s="69">
        <v>1</v>
      </c>
      <c r="AG333" s="70">
        <v>1</v>
      </c>
      <c r="AH333" s="70">
        <v>1</v>
      </c>
      <c r="AI333" s="70">
        <v>1</v>
      </c>
      <c r="AJ333" s="70">
        <v>1</v>
      </c>
      <c r="AK333" s="78">
        <v>21.565455951690861</v>
      </c>
      <c r="AL333" s="79">
        <v>18.016692100745772</v>
      </c>
      <c r="AM333" s="80">
        <v>15.811010371621425</v>
      </c>
      <c r="AN333" s="81">
        <v>12.262246520676335</v>
      </c>
      <c r="AO333" s="70" t="str">
        <f>IF(head!$F$82="S460","a","c")</f>
        <v>c</v>
      </c>
      <c r="AP333" s="70">
        <f t="shared" si="37"/>
        <v>0.49</v>
      </c>
      <c r="AQ333" s="72">
        <f>IF(head!F$82="S235",235,IF(head!F$82="S275",275,IF(head!F$82="S355",355,IF(head!F$82="S420",420,460))))^0.5*head!$G$70*1000/(S333*3.1416*210000^0.5)</f>
        <v>1.116814115357029</v>
      </c>
      <c r="AR333" s="72">
        <f t="shared" si="32"/>
        <v>1.3482563423928238</v>
      </c>
      <c r="AS333" s="72">
        <f t="shared" si="33"/>
        <v>0.47537893411014892</v>
      </c>
      <c r="AT333" s="52">
        <f>IF(head!F$82="S235",235,IF(head!F$82="S275",275,IF(head!F$82="S355",355,IF(head!F$82="S420",420,460))))*AS333*J333/1000</f>
        <v>21304.394672737537</v>
      </c>
      <c r="AU333" s="194">
        <f t="shared" si="34"/>
        <v>665.55338916424296</v>
      </c>
      <c r="AV333" s="166">
        <f>3.1416*1.13*head!$G$66/(1.4*head!$G$67)*((1+3.1416^2*AU333^2/(1.4*head!$G$67*1000)^2*(0.45^2+1))^0.5+3.1416*0.45*database!AU333/(1.4*head!$G$67*1000))</f>
        <v>20.647591168863958</v>
      </c>
      <c r="AW333" s="166">
        <f>AV333/(head!$G$66*1000)*(210000*database!P333*81000*database!T333)^0.5</f>
        <v>241942667887.81705</v>
      </c>
      <c r="AX333" s="163">
        <f>IF(head!$F$82="S235",database!AF333,(IF(head!$F$82="S275",database!AG333,IF(head!$F$82="S355",database!AH333,IF(head!$F$82="S420",database!AI333,database!AJ333)))))</f>
        <v>1</v>
      </c>
      <c r="AY333" s="166">
        <f t="shared" si="35"/>
        <v>24282095.539676633</v>
      </c>
      <c r="AZ333" s="212">
        <f>(AY333*VLOOKUP(head!$F$82,head!$L$1:$M$5,2)/AW333)^0.5</f>
        <v>0.18875611308550735</v>
      </c>
      <c r="BA333" s="169" t="str">
        <f t="shared" si="36"/>
        <v>HD 400 x 1086</v>
      </c>
    </row>
    <row r="334" spans="1:53">
      <c r="A334" s="98" t="s">
        <v>875</v>
      </c>
      <c r="B334" s="62">
        <f t="shared" si="31"/>
        <v>1.2533039647577093</v>
      </c>
      <c r="C334" s="99">
        <v>569</v>
      </c>
      <c r="D334" s="99">
        <v>454</v>
      </c>
      <c r="E334" s="126">
        <v>78</v>
      </c>
      <c r="F334" s="99">
        <v>125</v>
      </c>
      <c r="G334" s="99">
        <v>15</v>
      </c>
      <c r="H334" s="100">
        <v>1087.8148619755968</v>
      </c>
      <c r="I334" s="101">
        <v>1108.6011332235385</v>
      </c>
      <c r="J334" s="101">
        <v>138575.14165294229</v>
      </c>
      <c r="K334" s="101">
        <v>2.7722477796076936</v>
      </c>
      <c r="L334" s="102">
        <v>5957232727.0501595</v>
      </c>
      <c r="M334" s="101">
        <v>20939306.597715851</v>
      </c>
      <c r="N334" s="101">
        <v>27211498.468850162</v>
      </c>
      <c r="O334" s="103">
        <v>207.33834028817935</v>
      </c>
      <c r="P334" s="101">
        <v>1962476947.6112909</v>
      </c>
      <c r="Q334" s="101">
        <v>8645272.8969660401</v>
      </c>
      <c r="R334" s="101">
        <v>13375628.649258884</v>
      </c>
      <c r="S334" s="101">
        <v>119.00346761471562</v>
      </c>
      <c r="T334" s="102">
        <v>600063068.37679505</v>
      </c>
      <c r="U334" s="104">
        <v>93472935065964</v>
      </c>
      <c r="V334" s="70">
        <v>1</v>
      </c>
      <c r="W334" s="70">
        <v>1</v>
      </c>
      <c r="X334" s="70">
        <v>1</v>
      </c>
      <c r="Y334" s="70">
        <v>1</v>
      </c>
      <c r="Z334" s="70">
        <v>1</v>
      </c>
      <c r="AA334" s="71">
        <v>1</v>
      </c>
      <c r="AB334" s="70">
        <v>1</v>
      </c>
      <c r="AC334" s="70">
        <v>1</v>
      </c>
      <c r="AD334" s="70">
        <v>1</v>
      </c>
      <c r="AE334" s="70">
        <v>1</v>
      </c>
      <c r="AF334" s="69">
        <v>1</v>
      </c>
      <c r="AG334" s="70">
        <v>1</v>
      </c>
      <c r="AH334" s="70">
        <v>1</v>
      </c>
      <c r="AI334" s="70">
        <v>1</v>
      </c>
      <c r="AJ334" s="70">
        <v>1</v>
      </c>
      <c r="AK334" s="78">
        <v>20.005375758884039</v>
      </c>
      <c r="AL334" s="79">
        <v>16.729174886313182</v>
      </c>
      <c r="AM334" s="80">
        <v>14.76455283101317</v>
      </c>
      <c r="AN334" s="81">
        <v>11.488351958442308</v>
      </c>
      <c r="AO334" s="70" t="str">
        <f>IF(head!$F$82="S460","a","c")</f>
        <v>c</v>
      </c>
      <c r="AP334" s="70">
        <f t="shared" si="37"/>
        <v>0.49</v>
      </c>
      <c r="AQ334" s="72">
        <f>IF(head!F$82="S235",235,IF(head!F$82="S275",275,IF(head!F$82="S355",355,IF(head!F$82="S420",420,460))))^0.5*head!$G$70*1000/(S334*3.1416*210000^0.5)</f>
        <v>1.0997501364012259</v>
      </c>
      <c r="AR334" s="72">
        <f t="shared" si="32"/>
        <v>1.325163964675558</v>
      </c>
      <c r="AS334" s="72">
        <f t="shared" si="33"/>
        <v>0.48438014916748579</v>
      </c>
      <c r="AT334" s="52">
        <f>IF(head!F$82="S235",235,IF(head!F$82="S275",275,IF(head!F$82="S355",355,IF(head!F$82="S420",420,460))))*AS334*J334/1000</f>
        <v>23828.68196358897</v>
      </c>
      <c r="AU334" s="194">
        <f t="shared" si="34"/>
        <v>635.49425477342947</v>
      </c>
      <c r="AV334" s="166">
        <f>3.1416*1.13*head!$G$66/(1.4*head!$G$67)*((1+3.1416^2*AU334^2/(1.4*head!$G$67*1000)^2*(0.45^2+1))^0.5+3.1416*0.45*database!AU334/(1.4*head!$G$67*1000))</f>
        <v>20.16218119964137</v>
      </c>
      <c r="AW334" s="166">
        <f>AV334/(head!$G$66*1000)*(210000*database!P334*81000*database!T334)^0.5</f>
        <v>285358229302.68829</v>
      </c>
      <c r="AX334" s="163">
        <f>IF(head!$F$82="S235",database!AF334,(IF(head!$F$82="S275",database!AG334,IF(head!$F$82="S355",database!AH334,IF(head!$F$82="S420",database!AI334,database!AJ334)))))</f>
        <v>1</v>
      </c>
      <c r="AY334" s="166">
        <f t="shared" si="35"/>
        <v>27211498.468850162</v>
      </c>
      <c r="AZ334" s="212">
        <f>(AY334*VLOOKUP(head!$F$82,head!$L$1:$M$5,2)/AW334)^0.5</f>
        <v>0.18399041745059969</v>
      </c>
      <c r="BA334" s="77" t="s">
        <v>153</v>
      </c>
    </row>
    <row r="335" spans="1:53">
      <c r="A335" s="175"/>
      <c r="B335" s="129">
        <v>0</v>
      </c>
      <c r="C335" s="176"/>
      <c r="D335" s="176"/>
      <c r="E335" s="177"/>
      <c r="F335" s="176"/>
      <c r="G335" s="176"/>
      <c r="H335" s="178"/>
      <c r="I335" s="179"/>
      <c r="J335" s="179"/>
      <c r="K335" s="179"/>
      <c r="L335" s="180"/>
      <c r="M335" s="179"/>
      <c r="N335" s="179"/>
      <c r="O335" s="181"/>
      <c r="P335" s="179"/>
      <c r="Q335" s="179"/>
      <c r="R335" s="179"/>
      <c r="S335" s="179"/>
      <c r="T335" s="180"/>
      <c r="U335" s="182"/>
      <c r="V335" s="138"/>
      <c r="W335" s="138"/>
      <c r="X335" s="138"/>
      <c r="Y335" s="138"/>
      <c r="Z335" s="138"/>
      <c r="AA335" s="139"/>
      <c r="AB335" s="138"/>
      <c r="AC335" s="138"/>
      <c r="AD335" s="138"/>
      <c r="AE335" s="138"/>
      <c r="AF335" s="137"/>
      <c r="AG335" s="138"/>
      <c r="AH335" s="138"/>
      <c r="AI335" s="138"/>
      <c r="AJ335" s="138"/>
      <c r="AK335" s="172"/>
      <c r="AL335" s="146"/>
      <c r="AM335" s="173"/>
      <c r="AN335" s="174"/>
      <c r="AO335" s="138"/>
      <c r="AP335" s="138"/>
      <c r="AQ335" s="140"/>
      <c r="AR335" s="140"/>
      <c r="AS335" s="140"/>
      <c r="AT335" s="141"/>
      <c r="AU335" s="201"/>
      <c r="AV335" s="141"/>
      <c r="AW335" s="141"/>
      <c r="AX335" s="183"/>
      <c r="AY335" s="141"/>
      <c r="AZ335" s="202"/>
      <c r="BA335" s="144" t="str">
        <f t="shared" ref="BA335:BA358" si="38">A336</f>
        <v>HEA 100</v>
      </c>
    </row>
    <row r="336" spans="1:53">
      <c r="A336" s="175" t="s">
        <v>212</v>
      </c>
      <c r="B336" s="129">
        <f t="shared" ref="B336:B384" si="39">AT336</f>
        <v>25.362048584361329</v>
      </c>
      <c r="C336" s="176">
        <v>96</v>
      </c>
      <c r="D336" s="176">
        <v>100</v>
      </c>
      <c r="E336" s="177">
        <v>5</v>
      </c>
      <c r="F336" s="176">
        <v>8</v>
      </c>
      <c r="G336" s="176">
        <v>12</v>
      </c>
      <c r="H336" s="178">
        <v>16.670343664382099</v>
      </c>
      <c r="I336" s="179">
        <v>16.98888526306456</v>
      </c>
      <c r="J336" s="179">
        <v>2123.61065788307</v>
      </c>
      <c r="K336" s="179">
        <v>0.561398223686155</v>
      </c>
      <c r="L336" s="180">
        <v>3492251.4061307837</v>
      </c>
      <c r="M336" s="179">
        <v>72755.237627724666</v>
      </c>
      <c r="N336" s="179">
        <v>83013.098420725961</v>
      </c>
      <c r="O336" s="181">
        <v>40.552282372974467</v>
      </c>
      <c r="P336" s="179">
        <v>1338109.7911703724</v>
      </c>
      <c r="Q336" s="179">
        <v>26762.195823407448</v>
      </c>
      <c r="R336" s="179">
        <v>41140.354539304506</v>
      </c>
      <c r="S336" s="179">
        <v>25.10200583032579</v>
      </c>
      <c r="T336" s="180">
        <v>52011.697653646901</v>
      </c>
      <c r="U336" s="182">
        <v>2475143467.2709398</v>
      </c>
      <c r="V336" s="138">
        <v>1</v>
      </c>
      <c r="W336" s="138">
        <v>1</v>
      </c>
      <c r="X336" s="138">
        <v>1</v>
      </c>
      <c r="Y336" s="138">
        <v>1</v>
      </c>
      <c r="Z336" s="138">
        <v>1</v>
      </c>
      <c r="AA336" s="139">
        <v>1</v>
      </c>
      <c r="AB336" s="138">
        <v>1</v>
      </c>
      <c r="AC336" s="138">
        <v>1</v>
      </c>
      <c r="AD336" s="138">
        <v>1</v>
      </c>
      <c r="AE336" s="138">
        <v>1</v>
      </c>
      <c r="AF336" s="137">
        <v>1</v>
      </c>
      <c r="AG336" s="138">
        <v>1</v>
      </c>
      <c r="AH336" s="138">
        <v>1</v>
      </c>
      <c r="AI336" s="138">
        <v>1</v>
      </c>
      <c r="AJ336" s="138">
        <v>1</v>
      </c>
      <c r="AK336" s="172">
        <f t="shared" ref="AK336:AK359" si="40">K336/J336*1000000</f>
        <v>264.36024023621502</v>
      </c>
      <c r="AL336" s="184">
        <f t="shared" ref="AL336:AL359" si="41">(K336*1000-D336)/J336*1000</f>
        <v>217.27062913976036</v>
      </c>
      <c r="AM336" s="185">
        <f>2*(C336+D336)/J336*1000</f>
        <v>184.59127549810228</v>
      </c>
      <c r="AN336" s="186">
        <f>(2*C336+D336)/J336*1000</f>
        <v>137.50166440164762</v>
      </c>
      <c r="AO336" s="138" t="str">
        <f>IF(head!$F$82="S460","a","c")</f>
        <v>c</v>
      </c>
      <c r="AP336" s="138">
        <f t="shared" ref="AP336:AP384" si="42">IF(AO336="a0",0.13,IF(AO336="a",0.21,IF(AO336="b",0.34,IF(AO336="c",0.49,0.76))))</f>
        <v>0.49</v>
      </c>
      <c r="AQ336" s="140">
        <f>IF(head!F$82="S235",235,IF(head!F$82="S275",275,IF(head!F$82="S355",355,IF(head!F$82="S420",420,460))))^0.5*head!$G$70*1000/(S336*3.1416*210000^0.5)</f>
        <v>5.2136901180778583</v>
      </c>
      <c r="AR336" s="140">
        <f t="shared" ref="AR336:AR359" si="43">0.5*(1+AP336*(AQ336-0.2)+AQ336^2)</f>
        <v>15.31963640260043</v>
      </c>
      <c r="AS336" s="140">
        <f t="shared" ref="AS336:AS359" si="44">IF(AQ336&lt;=0.2,1,1/(AR336+(AR336^2-AQ336^2)^0.5))</f>
        <v>3.3641943787238407E-2</v>
      </c>
      <c r="AT336" s="141">
        <f>IF(head!F$82="S235",235,IF(head!F$82="S275",275,IF(head!F$82="S355",355,IF(head!F$82="S420",420,460))))*AS336*J336/1000</f>
        <v>25.362048584361329</v>
      </c>
      <c r="AU336" s="199">
        <f>(210000*U336/(81000*T336))^0.5</f>
        <v>351.25038733543784</v>
      </c>
      <c r="AV336" s="142">
        <f>3.1416*1.13*head!$G$66/(1.4*head!$G$67)*((1+3.1416^2*AU336^2/(1.4*head!$G$67*1000)^2*(0.45^2+1))^0.5+3.1416*0.45*database!AU336/(1.4*head!$G$67*1000))</f>
        <v>16.060433037348592</v>
      </c>
      <c r="AW336" s="142">
        <f>AV336/(head!$G$66*1000)*(210000*database!P336*81000*database!T336)^0.5</f>
        <v>55259353.126398519</v>
      </c>
      <c r="AX336" s="143">
        <f>IF(head!$F$82="S235",database!AF336,(IF(head!$F$82="S275",database!AG336,IF(head!$F$82="S355",database!AH336,IF(head!$F$82="S420",database!AI336,database!AJ336)))))</f>
        <v>1</v>
      </c>
      <c r="AY336" s="135">
        <f t="shared" ref="AY336:AY359" si="45">IF(AX336&lt;=2,N336,M336)</f>
        <v>83013.098420725961</v>
      </c>
      <c r="AZ336" s="200">
        <f>(AY336*VLOOKUP(head!$F$82,head!$L$1:$M$5,2)/AW336)^0.5</f>
        <v>0.73027190057675961</v>
      </c>
      <c r="BA336" s="144" t="str">
        <f t="shared" si="38"/>
        <v>HEA 120</v>
      </c>
    </row>
    <row r="337" spans="1:53">
      <c r="A337" s="175" t="s">
        <v>213</v>
      </c>
      <c r="B337" s="129">
        <f t="shared" si="39"/>
        <v>42.988833452940021</v>
      </c>
      <c r="C337" s="176">
        <v>114</v>
      </c>
      <c r="D337" s="176">
        <v>120</v>
      </c>
      <c r="E337" s="177">
        <v>5</v>
      </c>
      <c r="F337" s="176">
        <v>8</v>
      </c>
      <c r="G337" s="176">
        <v>12</v>
      </c>
      <c r="H337" s="178">
        <v>19.888843664382101</v>
      </c>
      <c r="I337" s="179">
        <v>20.268885263064561</v>
      </c>
      <c r="J337" s="179">
        <v>2533.61065788307</v>
      </c>
      <c r="K337" s="179">
        <v>0.67739822368615499</v>
      </c>
      <c r="L337" s="180">
        <v>6061516.3076590467</v>
      </c>
      <c r="M337" s="179">
        <v>106342.39136243942</v>
      </c>
      <c r="N337" s="179">
        <v>119490.59434167358</v>
      </c>
      <c r="O337" s="181">
        <v>48.912594538834639</v>
      </c>
      <c r="P337" s="179">
        <v>2308963.9578370391</v>
      </c>
      <c r="Q337" s="179">
        <v>38482.73263061732</v>
      </c>
      <c r="R337" s="179">
        <v>58852.854539304506</v>
      </c>
      <c r="S337" s="179">
        <v>30.188298683246121</v>
      </c>
      <c r="T337" s="180">
        <v>59588.778493453501</v>
      </c>
      <c r="U337" s="182">
        <v>6284343369.73808</v>
      </c>
      <c r="V337" s="138">
        <v>1</v>
      </c>
      <c r="W337" s="138">
        <v>1</v>
      </c>
      <c r="X337" s="138">
        <v>1</v>
      </c>
      <c r="Y337" s="138">
        <v>1</v>
      </c>
      <c r="Z337" s="138">
        <v>1</v>
      </c>
      <c r="AA337" s="139">
        <v>1</v>
      </c>
      <c r="AB337" s="138">
        <v>1</v>
      </c>
      <c r="AC337" s="138">
        <v>1</v>
      </c>
      <c r="AD337" s="138">
        <v>1</v>
      </c>
      <c r="AE337" s="138">
        <v>2</v>
      </c>
      <c r="AF337" s="137">
        <v>1</v>
      </c>
      <c r="AG337" s="138">
        <v>1</v>
      </c>
      <c r="AH337" s="138">
        <v>1</v>
      </c>
      <c r="AI337" s="138">
        <v>1</v>
      </c>
      <c r="AJ337" s="138">
        <v>1</v>
      </c>
      <c r="AK337" s="172">
        <f>K337/J337*1000000</f>
        <v>267.36476718650511</v>
      </c>
      <c r="AL337" s="184">
        <f t="shared" si="41"/>
        <v>220.00153099761698</v>
      </c>
      <c r="AM337" s="185">
        <f t="shared" ref="AM337:AM359" si="46">2*(C337+D337)/J337*1000</f>
        <v>184.71662113666358</v>
      </c>
      <c r="AN337" s="186">
        <f t="shared" ref="AN337:AN359" si="47">(2*C337+D337)/J337*1000</f>
        <v>137.35338494777548</v>
      </c>
      <c r="AO337" s="138" t="str">
        <f>IF(head!$F$82="S460","a","c")</f>
        <v>c</v>
      </c>
      <c r="AP337" s="138">
        <f t="shared" si="42"/>
        <v>0.49</v>
      </c>
      <c r="AQ337" s="140">
        <f>IF(head!F$82="S235",235,IF(head!F$82="S275",275,IF(head!F$82="S355",355,IF(head!F$82="S420",420,460))))^0.5*head!$G$70*1000/(S337*3.1416*210000^0.5)</f>
        <v>4.3352585422157208</v>
      </c>
      <c r="AR337" s="140">
        <f t="shared" si="43"/>
        <v>10.910371656770039</v>
      </c>
      <c r="AS337" s="140">
        <f t="shared" si="44"/>
        <v>4.7795546298506388E-2</v>
      </c>
      <c r="AT337" s="141">
        <f>IF(head!F$82="S235",235,IF(head!F$82="S275",275,IF(head!F$82="S355",355,IF(head!F$82="S420",420,460))))*AS337*J337/1000</f>
        <v>42.988833452940021</v>
      </c>
      <c r="AU337" s="199">
        <f t="shared" ref="AU337:AU425" si="48">(210000*U337/(81000*T337))^0.5</f>
        <v>522.89543416031779</v>
      </c>
      <c r="AV337" s="142">
        <f>3.1416*1.13*head!$G$66/(1.4*head!$G$67)*((1+3.1416^2*AU337^2/(1.4*head!$G$67*1000)^2*(0.45^2+1))^0.5+3.1416*0.45*database!AU337/(1.4*head!$G$67*1000))</f>
        <v>18.423111477739806</v>
      </c>
      <c r="AW337" s="142">
        <f>AV337/(head!$G$66*1000)*(210000*database!P337*81000*database!T337)^0.5</f>
        <v>89126315.932381332</v>
      </c>
      <c r="AX337" s="143">
        <f>IF(head!$F$82="S235",database!AF337,(IF(head!$F$82="S275",database!AG337,IF(head!$F$82="S355",database!AH337,IF(head!$F$82="S420",database!AI337,database!AJ337)))))</f>
        <v>1</v>
      </c>
      <c r="AY337" s="135">
        <f t="shared" si="45"/>
        <v>119490.59434167358</v>
      </c>
      <c r="AZ337" s="200">
        <f>(AY337*VLOOKUP(head!$F$82,head!$L$1:$M$5,2)/AW337)^0.5</f>
        <v>0.68988715609405804</v>
      </c>
      <c r="BA337" s="144" t="str">
        <f t="shared" si="38"/>
        <v>HEA 140</v>
      </c>
    </row>
    <row r="338" spans="1:53">
      <c r="A338" s="175" t="s">
        <v>214</v>
      </c>
      <c r="B338" s="129">
        <f t="shared" si="39"/>
        <v>71.205960038970758</v>
      </c>
      <c r="C338" s="176">
        <v>133</v>
      </c>
      <c r="D338" s="176">
        <v>140</v>
      </c>
      <c r="E338" s="177">
        <v>5.5</v>
      </c>
      <c r="F338" s="176">
        <v>8.5</v>
      </c>
      <c r="G338" s="176">
        <v>12</v>
      </c>
      <c r="H338" s="178">
        <v>24.661643664382101</v>
      </c>
      <c r="I338" s="179">
        <v>25.132885263064559</v>
      </c>
      <c r="J338" s="179">
        <v>3141.61065788307</v>
      </c>
      <c r="K338" s="179">
        <v>0.79439822368615498</v>
      </c>
      <c r="L338" s="180">
        <v>10331295.135764366</v>
      </c>
      <c r="M338" s="179">
        <v>155357.8215904416</v>
      </c>
      <c r="N338" s="179">
        <v>173495.0902626212</v>
      </c>
      <c r="O338" s="181">
        <v>57.345745547401073</v>
      </c>
      <c r="P338" s="179">
        <v>3893212.652439476</v>
      </c>
      <c r="Q338" s="179">
        <v>55617.323606278231</v>
      </c>
      <c r="R338" s="179">
        <v>84848.507203775269</v>
      </c>
      <c r="S338" s="179">
        <v>35.202854632344852</v>
      </c>
      <c r="T338" s="180">
        <v>80341.112844012096</v>
      </c>
      <c r="U338" s="182">
        <v>14728365041.2337</v>
      </c>
      <c r="V338" s="138">
        <v>1</v>
      </c>
      <c r="W338" s="138">
        <v>1</v>
      </c>
      <c r="X338" s="138">
        <v>1</v>
      </c>
      <c r="Y338" s="138">
        <v>1</v>
      </c>
      <c r="Z338" s="138">
        <v>2</v>
      </c>
      <c r="AA338" s="139">
        <v>1</v>
      </c>
      <c r="AB338" s="138">
        <v>1</v>
      </c>
      <c r="AC338" s="138">
        <v>2</v>
      </c>
      <c r="AD338" s="138">
        <v>3</v>
      </c>
      <c r="AE338" s="138">
        <v>3</v>
      </c>
      <c r="AF338" s="137">
        <v>1</v>
      </c>
      <c r="AG338" s="138">
        <v>1</v>
      </c>
      <c r="AH338" s="138">
        <v>1</v>
      </c>
      <c r="AI338" s="138">
        <v>1</v>
      </c>
      <c r="AJ338" s="138">
        <v>2</v>
      </c>
      <c r="AK338" s="172">
        <f t="shared" si="40"/>
        <v>252.86335902025778</v>
      </c>
      <c r="AL338" s="184">
        <f t="shared" si="41"/>
        <v>208.30023034334624</v>
      </c>
      <c r="AM338" s="185">
        <f t="shared" si="46"/>
        <v>173.79620183995507</v>
      </c>
      <c r="AN338" s="186">
        <f t="shared" si="47"/>
        <v>129.23307316304349</v>
      </c>
      <c r="AO338" s="138" t="str">
        <f>IF(head!$F$82="S460","a","c")</f>
        <v>c</v>
      </c>
      <c r="AP338" s="138">
        <f t="shared" si="42"/>
        <v>0.49</v>
      </c>
      <c r="AQ338" s="140">
        <f>IF(head!F$82="S235",235,IF(head!F$82="S275",275,IF(head!F$82="S355",355,IF(head!F$82="S420",420,460))))^0.5*head!$G$70*1000/(S338*3.1416*210000^0.5)</f>
        <v>3.7177121318239199</v>
      </c>
      <c r="AR338" s="140">
        <f t="shared" si="43"/>
        <v>8.2725312198522385</v>
      </c>
      <c r="AS338" s="140">
        <f t="shared" si="44"/>
        <v>6.3846284905023656E-2</v>
      </c>
      <c r="AT338" s="141">
        <f>IF(head!F$82="S235",235,IF(head!F$82="S275",275,IF(head!F$82="S355",355,IF(head!F$82="S420",420,460))))*AS338*J338/1000</f>
        <v>71.205960038970758</v>
      </c>
      <c r="AU338" s="199">
        <f t="shared" si="48"/>
        <v>689.40667841496349</v>
      </c>
      <c r="AV338" s="142">
        <f>3.1416*1.13*head!$G$66/(1.4*head!$G$67)*((1+3.1416^2*AU338^2/(1.4*head!$G$67*1000)^2*(0.45^2+1))^0.5+3.1416*0.45*database!AU338/(1.4*head!$G$67*1000))</f>
        <v>21.038523948439636</v>
      </c>
      <c r="AW338" s="142">
        <f>AV338/(head!$G$66*1000)*(210000*database!P338*81000*database!T338)^0.5</f>
        <v>153458308.927416</v>
      </c>
      <c r="AX338" s="143">
        <f>IF(head!$F$82="S235",database!AF338,(IF(head!$F$82="S275",database!AG338,IF(head!$F$82="S355",database!AH338,IF(head!$F$82="S420",database!AI338,database!AJ338)))))</f>
        <v>1</v>
      </c>
      <c r="AY338" s="135">
        <f t="shared" si="45"/>
        <v>173495.0902626212</v>
      </c>
      <c r="AZ338" s="200">
        <f>(AY338*VLOOKUP(head!$F$82,head!$L$1:$M$5,2)/AW338)^0.5</f>
        <v>0.63352326339151976</v>
      </c>
      <c r="BA338" s="144" t="str">
        <f t="shared" si="38"/>
        <v>HEA 160</v>
      </c>
    </row>
    <row r="339" spans="1:53">
      <c r="A339" s="175" t="s">
        <v>215</v>
      </c>
      <c r="B339" s="129">
        <f t="shared" si="39"/>
        <v>110.71681601997035</v>
      </c>
      <c r="C339" s="176">
        <v>152</v>
      </c>
      <c r="D339" s="176">
        <v>160</v>
      </c>
      <c r="E339" s="177">
        <v>6</v>
      </c>
      <c r="F339" s="176">
        <v>9</v>
      </c>
      <c r="G339" s="176">
        <v>15</v>
      </c>
      <c r="H339" s="178">
        <v>30.435561975597032</v>
      </c>
      <c r="I339" s="179">
        <v>31.017133223538373</v>
      </c>
      <c r="J339" s="179">
        <v>3877.1416529422968</v>
      </c>
      <c r="K339" s="179">
        <v>0.90624777960769376</v>
      </c>
      <c r="L339" s="180">
        <v>16729766.247533973</v>
      </c>
      <c r="M339" s="179">
        <v>220128.50325702596</v>
      </c>
      <c r="N339" s="179">
        <v>245147.36595299942</v>
      </c>
      <c r="O339" s="181">
        <v>65.688463307454938</v>
      </c>
      <c r="P339" s="179">
        <v>6155729.1135313082</v>
      </c>
      <c r="Q339" s="179">
        <v>76946.613919141353</v>
      </c>
      <c r="R339" s="179">
        <v>117632.54975296133</v>
      </c>
      <c r="S339" s="179">
        <v>39.845925249088701</v>
      </c>
      <c r="T339" s="180">
        <v>118438.61391652199</v>
      </c>
      <c r="U339" s="182">
        <v>30613902817.192902</v>
      </c>
      <c r="V339" s="138">
        <v>1</v>
      </c>
      <c r="W339" s="138">
        <v>1</v>
      </c>
      <c r="X339" s="138">
        <v>1</v>
      </c>
      <c r="Y339" s="138">
        <v>2</v>
      </c>
      <c r="Z339" s="138">
        <v>2</v>
      </c>
      <c r="AA339" s="139">
        <v>1</v>
      </c>
      <c r="AB339" s="138">
        <v>1</v>
      </c>
      <c r="AC339" s="138">
        <v>2</v>
      </c>
      <c r="AD339" s="138">
        <v>3</v>
      </c>
      <c r="AE339" s="138">
        <v>3</v>
      </c>
      <c r="AF339" s="137">
        <v>1</v>
      </c>
      <c r="AG339" s="138">
        <v>1</v>
      </c>
      <c r="AH339" s="138">
        <v>1</v>
      </c>
      <c r="AI339" s="138">
        <v>2</v>
      </c>
      <c r="AJ339" s="138">
        <v>2</v>
      </c>
      <c r="AK339" s="172">
        <f t="shared" si="40"/>
        <v>233.74120956348287</v>
      </c>
      <c r="AL339" s="184">
        <f t="shared" si="41"/>
        <v>192.47369490391952</v>
      </c>
      <c r="AM339" s="185">
        <f t="shared" si="46"/>
        <v>160.94330717229715</v>
      </c>
      <c r="AN339" s="186">
        <f t="shared" si="47"/>
        <v>119.67579251273378</v>
      </c>
      <c r="AO339" s="138" t="str">
        <f>IF(head!$F$82="S460","a","c")</f>
        <v>c</v>
      </c>
      <c r="AP339" s="138">
        <f t="shared" si="42"/>
        <v>0.49</v>
      </c>
      <c r="AQ339" s="140">
        <f>IF(head!F$82="S235",235,IF(head!F$82="S275",275,IF(head!F$82="S355",355,IF(head!F$82="S420",420,460))))^0.5*head!$G$70*1000/(S339*3.1416*210000^0.5)</f>
        <v>3.2845034698873135</v>
      </c>
      <c r="AR339" s="140">
        <f t="shared" si="43"/>
        <v>6.6496848719732933</v>
      </c>
      <c r="AS339" s="140">
        <f t="shared" si="44"/>
        <v>8.044027866486457E-2</v>
      </c>
      <c r="AT339" s="141">
        <f>IF(head!F$82="S235",235,IF(head!F$82="S275",275,IF(head!F$82="S355",355,IF(head!F$82="S420",420,460))))*AS339*J339/1000</f>
        <v>110.71681601997035</v>
      </c>
      <c r="AU339" s="199">
        <f t="shared" si="48"/>
        <v>818.61524729079167</v>
      </c>
      <c r="AV339" s="142">
        <f>3.1416*1.13*head!$G$66/(1.4*head!$G$67)*((1+3.1416^2*AU339^2/(1.4*head!$G$67*1000)^2*(0.45^2+1))^0.5+3.1416*0.45*database!AU339/(1.4*head!$G$67*1000))</f>
        <v>23.235206772424792</v>
      </c>
      <c r="AW339" s="142">
        <f>AV339/(head!$G$66*1000)*(210000*database!P339*81000*database!T339)^0.5</f>
        <v>258752828.96857974</v>
      </c>
      <c r="AX339" s="143">
        <f>IF(head!$F$82="S235",database!AF339,(IF(head!$F$82="S275",database!AG339,IF(head!$F$82="S355",database!AH339,IF(head!$F$82="S420",database!AI339,database!AJ339)))))</f>
        <v>1</v>
      </c>
      <c r="AY339" s="135">
        <f t="shared" si="45"/>
        <v>245147.36595299942</v>
      </c>
      <c r="AZ339" s="200">
        <f>(AY339*VLOOKUP(head!$F$82,head!$L$1:$M$5,2)/AW339)^0.5</f>
        <v>0.57994290385515601</v>
      </c>
      <c r="BA339" s="144" t="str">
        <f t="shared" si="38"/>
        <v>HEA 180</v>
      </c>
    </row>
    <row r="340" spans="1:53">
      <c r="A340" s="175" t="s">
        <v>216</v>
      </c>
      <c r="B340" s="129">
        <f t="shared" si="39"/>
        <v>163.0464632505176</v>
      </c>
      <c r="C340" s="176">
        <v>171</v>
      </c>
      <c r="D340" s="176">
        <v>180</v>
      </c>
      <c r="E340" s="177">
        <v>6</v>
      </c>
      <c r="F340" s="176">
        <v>9.5</v>
      </c>
      <c r="G340" s="176">
        <v>15</v>
      </c>
      <c r="H340" s="178">
        <v>35.522361975597029</v>
      </c>
      <c r="I340" s="179">
        <v>36.201133223538378</v>
      </c>
      <c r="J340" s="179">
        <v>4525.1416529422968</v>
      </c>
      <c r="K340" s="179">
        <v>1.0242477796076936</v>
      </c>
      <c r="L340" s="180">
        <v>25102868.30857629</v>
      </c>
      <c r="M340" s="179">
        <v>293600.79893071682</v>
      </c>
      <c r="N340" s="179">
        <v>324852.64082948008</v>
      </c>
      <c r="O340" s="181">
        <v>74.481014674610591</v>
      </c>
      <c r="P340" s="179">
        <v>9246053.1135313082</v>
      </c>
      <c r="Q340" s="179">
        <v>102733.9234836812</v>
      </c>
      <c r="R340" s="179">
        <v>156494.54975296135</v>
      </c>
      <c r="S340" s="179">
        <v>45.202463335210901</v>
      </c>
      <c r="T340" s="180">
        <v>146601.964447659</v>
      </c>
      <c r="U340" s="182">
        <v>59012432423.846001</v>
      </c>
      <c r="V340" s="138">
        <v>1</v>
      </c>
      <c r="W340" s="138">
        <v>1</v>
      </c>
      <c r="X340" s="138">
        <v>2</v>
      </c>
      <c r="Y340" s="138">
        <v>3</v>
      </c>
      <c r="Z340" s="138">
        <v>3</v>
      </c>
      <c r="AA340" s="139">
        <v>1</v>
      </c>
      <c r="AB340" s="138">
        <v>2</v>
      </c>
      <c r="AC340" s="138">
        <v>3</v>
      </c>
      <c r="AD340" s="138">
        <v>3</v>
      </c>
      <c r="AE340" s="138">
        <v>3</v>
      </c>
      <c r="AF340" s="137">
        <v>1</v>
      </c>
      <c r="AG340" s="138">
        <v>1</v>
      </c>
      <c r="AH340" s="138">
        <v>2</v>
      </c>
      <c r="AI340" s="138">
        <v>3</v>
      </c>
      <c r="AJ340" s="138">
        <v>3</v>
      </c>
      <c r="AK340" s="172">
        <f t="shared" si="40"/>
        <v>226.34601481297642</v>
      </c>
      <c r="AL340" s="184">
        <f t="shared" si="41"/>
        <v>186.56825451171335</v>
      </c>
      <c r="AM340" s="185">
        <f t="shared" si="46"/>
        <v>155.13326517492592</v>
      </c>
      <c r="AN340" s="186">
        <f t="shared" si="47"/>
        <v>115.35550487366288</v>
      </c>
      <c r="AO340" s="138" t="str">
        <f>IF(head!$F$82="S460","a","c")</f>
        <v>c</v>
      </c>
      <c r="AP340" s="138">
        <f t="shared" si="42"/>
        <v>0.49</v>
      </c>
      <c r="AQ340" s="140">
        <f>IF(head!F$82="S235",235,IF(head!F$82="S275",275,IF(head!F$82="S355",355,IF(head!F$82="S420",420,460))))^0.5*head!$G$70*1000/(S340*3.1416*210000^0.5)</f>
        <v>2.8952864531070084</v>
      </c>
      <c r="AR340" s="140">
        <f t="shared" si="43"/>
        <v>5.3516870037836979</v>
      </c>
      <c r="AS340" s="140">
        <f t="shared" si="44"/>
        <v>0.10149644965802482</v>
      </c>
      <c r="AT340" s="141">
        <f>IF(head!F$82="S235",235,IF(head!F$82="S275",275,IF(head!F$82="S355",355,IF(head!F$82="S420",420,460))))*AS340*J340/1000</f>
        <v>163.0464632505176</v>
      </c>
      <c r="AU340" s="199">
        <f t="shared" si="48"/>
        <v>1021.5720473190112</v>
      </c>
      <c r="AV340" s="142">
        <f>3.1416*1.13*head!$G$66/(1.4*head!$G$67)*((1+3.1416^2*AU340^2/(1.4*head!$G$67*1000)^2*(0.45^2+1))^0.5+3.1416*0.45*database!AU340/(1.4*head!$G$67*1000))</f>
        <v>26.903670790590279</v>
      </c>
      <c r="AW340" s="142">
        <f>AV340/(head!$G$66*1000)*(210000*database!P340*81000*database!T340)^0.5</f>
        <v>408518551.85660022</v>
      </c>
      <c r="AX340" s="143">
        <f>IF(head!$F$82="S235",database!AF340,(IF(head!$F$82="S275",database!AG340,IF(head!$F$82="S355",database!AH340,IF(head!$F$82="S420",database!AI340,database!AJ340)))))</f>
        <v>2</v>
      </c>
      <c r="AY340" s="135">
        <f t="shared" si="45"/>
        <v>324852.64082948008</v>
      </c>
      <c r="AZ340" s="200">
        <f>(AY340*VLOOKUP(head!$F$82,head!$L$1:$M$5,2)/AW340)^0.5</f>
        <v>0.53131427632055106</v>
      </c>
      <c r="BA340" s="144" t="str">
        <f t="shared" si="38"/>
        <v>HEA 200</v>
      </c>
    </row>
    <row r="341" spans="1:53">
      <c r="A341" s="175" t="s">
        <v>217</v>
      </c>
      <c r="B341" s="129">
        <f t="shared" si="39"/>
        <v>231.43282381999038</v>
      </c>
      <c r="C341" s="176">
        <v>190</v>
      </c>
      <c r="D341" s="176">
        <v>200</v>
      </c>
      <c r="E341" s="177">
        <v>6.5</v>
      </c>
      <c r="F341" s="176">
        <v>10</v>
      </c>
      <c r="G341" s="176">
        <v>18</v>
      </c>
      <c r="H341" s="178">
        <v>42.257523244859726</v>
      </c>
      <c r="I341" s="179">
        <v>43.064991841895257</v>
      </c>
      <c r="J341" s="179">
        <v>5383.1239802369073</v>
      </c>
      <c r="K341" s="179">
        <v>1.1360973355292325</v>
      </c>
      <c r="L341" s="180">
        <v>36921552.256349325</v>
      </c>
      <c r="M341" s="179">
        <v>388647.91848788765</v>
      </c>
      <c r="N341" s="179">
        <v>429484.80667587277</v>
      </c>
      <c r="O341" s="181">
        <v>82.817627412986894</v>
      </c>
      <c r="P341" s="179">
        <v>13355094.256391585</v>
      </c>
      <c r="Q341" s="179">
        <v>133550.94256391586</v>
      </c>
      <c r="R341" s="179">
        <v>203817.7595800343</v>
      </c>
      <c r="S341" s="179">
        <v>49.808823949600452</v>
      </c>
      <c r="T341" s="180">
        <v>204400.521071225</v>
      </c>
      <c r="U341" s="182">
        <v>105574896985.228</v>
      </c>
      <c r="V341" s="138">
        <v>1</v>
      </c>
      <c r="W341" s="138">
        <v>1</v>
      </c>
      <c r="X341" s="138">
        <v>2</v>
      </c>
      <c r="Y341" s="138">
        <v>3</v>
      </c>
      <c r="Z341" s="138">
        <v>3</v>
      </c>
      <c r="AA341" s="139">
        <v>2</v>
      </c>
      <c r="AB341" s="138">
        <v>3</v>
      </c>
      <c r="AC341" s="138">
        <v>3</v>
      </c>
      <c r="AD341" s="138">
        <v>3</v>
      </c>
      <c r="AE341" s="138">
        <v>3</v>
      </c>
      <c r="AF341" s="137">
        <v>1</v>
      </c>
      <c r="AG341" s="138">
        <v>1</v>
      </c>
      <c r="AH341" s="138">
        <v>2</v>
      </c>
      <c r="AI341" s="138">
        <v>3</v>
      </c>
      <c r="AJ341" s="138">
        <v>3</v>
      </c>
      <c r="AK341" s="172">
        <f t="shared" si="40"/>
        <v>211.04796019935503</v>
      </c>
      <c r="AL341" s="184">
        <f t="shared" si="41"/>
        <v>173.89481255975747</v>
      </c>
      <c r="AM341" s="185">
        <f t="shared" si="46"/>
        <v>144.89727579443056</v>
      </c>
      <c r="AN341" s="186">
        <f t="shared" si="47"/>
        <v>107.74412815483299</v>
      </c>
      <c r="AO341" s="138" t="str">
        <f>IF(head!$F$82="S460","a","c")</f>
        <v>c</v>
      </c>
      <c r="AP341" s="138">
        <f t="shared" si="42"/>
        <v>0.49</v>
      </c>
      <c r="AQ341" s="140">
        <f>IF(head!F$82="S235",235,IF(head!F$82="S275",275,IF(head!F$82="S355",355,IF(head!F$82="S420",420,460))))^0.5*head!$G$70*1000/(S341*3.1416*210000^0.5)</f>
        <v>2.6275280033499402</v>
      </c>
      <c r="AR341" s="140">
        <f t="shared" si="43"/>
        <v>4.546696065014797</v>
      </c>
      <c r="AS341" s="140">
        <f t="shared" si="44"/>
        <v>0.12110504045117013</v>
      </c>
      <c r="AT341" s="141">
        <f>IF(head!F$82="S235",235,IF(head!F$82="S275",275,IF(head!F$82="S355",355,IF(head!F$82="S420",420,460))))*AS341*J341/1000</f>
        <v>231.43282381999038</v>
      </c>
      <c r="AU341" s="199">
        <f t="shared" si="48"/>
        <v>1157.1947956648371</v>
      </c>
      <c r="AV341" s="142">
        <f>3.1416*1.13*head!$G$66/(1.4*head!$G$67)*((1+3.1416^2*AU341^2/(1.4*head!$G$67*1000)^2*(0.45^2+1))^0.5+3.1416*0.45*database!AU341/(1.4*head!$G$67*1000))</f>
        <v>29.466783871831797</v>
      </c>
      <c r="AW341" s="142">
        <f>AV341/(head!$G$66*1000)*(210000*database!P341*81000*database!T341)^0.5</f>
        <v>634964393.8708632</v>
      </c>
      <c r="AX341" s="143">
        <f>IF(head!$F$82="S235",database!AF341,(IF(head!$F$82="S275",database!AG341,IF(head!$F$82="S355",database!AH341,IF(head!$F$82="S420",database!AI341,database!AJ341)))))</f>
        <v>2</v>
      </c>
      <c r="AY341" s="135">
        <f t="shared" si="45"/>
        <v>429484.80667587277</v>
      </c>
      <c r="AZ341" s="200">
        <f>(AY341*VLOOKUP(head!$F$82,head!$L$1:$M$5,2)/AW341)^0.5</f>
        <v>0.49001953373110957</v>
      </c>
      <c r="BA341" s="144" t="str">
        <f t="shared" si="38"/>
        <v>HEA 220</v>
      </c>
    </row>
    <row r="342" spans="1:53">
      <c r="A342" s="175" t="s">
        <v>218</v>
      </c>
      <c r="B342" s="129">
        <f t="shared" si="39"/>
        <v>331.75892464044426</v>
      </c>
      <c r="C342" s="176">
        <v>210</v>
      </c>
      <c r="D342" s="176">
        <v>220</v>
      </c>
      <c r="E342" s="177">
        <v>7</v>
      </c>
      <c r="F342" s="176">
        <v>11</v>
      </c>
      <c r="G342" s="176">
        <v>18</v>
      </c>
      <c r="H342" s="178">
        <v>50.507873244859724</v>
      </c>
      <c r="I342" s="179">
        <v>51.472991841895258</v>
      </c>
      <c r="J342" s="179">
        <v>6434.1239802369073</v>
      </c>
      <c r="K342" s="179">
        <v>1.2550973355292325</v>
      </c>
      <c r="L342" s="180">
        <v>54097012.152247563</v>
      </c>
      <c r="M342" s="179">
        <v>515209.63954521494</v>
      </c>
      <c r="N342" s="179">
        <v>568457.42249800498</v>
      </c>
      <c r="O342" s="181">
        <v>91.694212920945688</v>
      </c>
      <c r="P342" s="179">
        <v>19545605.8522637</v>
      </c>
      <c r="Q342" s="179">
        <v>177687.32592967001</v>
      </c>
      <c r="R342" s="179">
        <v>270594.66557509347</v>
      </c>
      <c r="S342" s="179">
        <v>55.11627467466031</v>
      </c>
      <c r="T342" s="180">
        <v>280991.04778856802</v>
      </c>
      <c r="U342" s="182">
        <v>189608148809.23199</v>
      </c>
      <c r="V342" s="138">
        <v>1</v>
      </c>
      <c r="W342" s="138">
        <v>1</v>
      </c>
      <c r="X342" s="138">
        <v>2</v>
      </c>
      <c r="Y342" s="138">
        <v>3</v>
      </c>
      <c r="Z342" s="138">
        <v>3</v>
      </c>
      <c r="AA342" s="139">
        <v>2</v>
      </c>
      <c r="AB342" s="138">
        <v>3</v>
      </c>
      <c r="AC342" s="138">
        <v>3</v>
      </c>
      <c r="AD342" s="138">
        <v>3</v>
      </c>
      <c r="AE342" s="138">
        <v>3</v>
      </c>
      <c r="AF342" s="137">
        <v>1</v>
      </c>
      <c r="AG342" s="138">
        <v>1</v>
      </c>
      <c r="AH342" s="138">
        <v>2</v>
      </c>
      <c r="AI342" s="138">
        <v>3</v>
      </c>
      <c r="AJ342" s="138">
        <v>3</v>
      </c>
      <c r="AK342" s="172">
        <f t="shared" si="40"/>
        <v>195.0688764133854</v>
      </c>
      <c r="AL342" s="184">
        <f t="shared" si="41"/>
        <v>160.87618745125889</v>
      </c>
      <c r="AM342" s="185">
        <f t="shared" si="46"/>
        <v>133.66232957922182</v>
      </c>
      <c r="AN342" s="186">
        <f t="shared" si="47"/>
        <v>99.469640617095308</v>
      </c>
      <c r="AO342" s="138" t="str">
        <f>IF(head!$F$82="S460","a","c")</f>
        <v>c</v>
      </c>
      <c r="AP342" s="138">
        <f t="shared" si="42"/>
        <v>0.49</v>
      </c>
      <c r="AQ342" s="140">
        <f>IF(head!F$82="S235",235,IF(head!F$82="S275",275,IF(head!F$82="S355",355,IF(head!F$82="S420",420,460))))^0.5*head!$G$70*1000/(S342*3.1416*210000^0.5)</f>
        <v>2.3745088091316822</v>
      </c>
      <c r="AR342" s="140">
        <f t="shared" si="43"/>
        <v>3.8519007005592418</v>
      </c>
      <c r="AS342" s="140">
        <f t="shared" si="44"/>
        <v>0.14524621921434419</v>
      </c>
      <c r="AT342" s="141">
        <f>IF(head!F$82="S235",235,IF(head!F$82="S275",275,IF(head!F$82="S355",355,IF(head!F$82="S420",420,460))))*AS342*J342/1000</f>
        <v>331.75892464044426</v>
      </c>
      <c r="AU342" s="199">
        <f t="shared" si="48"/>
        <v>1322.6635795414109</v>
      </c>
      <c r="AV342" s="142">
        <f>3.1416*1.13*head!$G$66/(1.4*head!$G$67)*((1+3.1416^2*AU342^2/(1.4*head!$G$67*1000)^2*(0.45^2+1))^0.5+3.1416*0.45*database!AU342/(1.4*head!$G$67*1000))</f>
        <v>32.683770427993679</v>
      </c>
      <c r="AW342" s="142">
        <f>AV342/(head!$G$66*1000)*(210000*database!P342*81000*database!T342)^0.5</f>
        <v>998976146.73407984</v>
      </c>
      <c r="AX342" s="143">
        <f>IF(head!$F$82="S235",database!AF342,(IF(head!$F$82="S275",database!AG342,IF(head!$F$82="S355",database!AH342,IF(head!$F$82="S420",database!AI342,database!AJ342)))))</f>
        <v>2</v>
      </c>
      <c r="AY342" s="135">
        <f t="shared" si="45"/>
        <v>568457.42249800498</v>
      </c>
      <c r="AZ342" s="200">
        <f>(AY342*VLOOKUP(head!$F$82,head!$L$1:$M$5,2)/AW342)^0.5</f>
        <v>0.44945435005019313</v>
      </c>
      <c r="BA342" s="144" t="str">
        <f t="shared" si="38"/>
        <v>HEA 240</v>
      </c>
    </row>
    <row r="343" spans="1:53">
      <c r="A343" s="175" t="s">
        <v>219</v>
      </c>
      <c r="B343" s="129">
        <f t="shared" si="39"/>
        <v>460.70993020268349</v>
      </c>
      <c r="C343" s="176">
        <v>230</v>
      </c>
      <c r="D343" s="176">
        <v>240</v>
      </c>
      <c r="E343" s="177">
        <v>7.5</v>
      </c>
      <c r="F343" s="176">
        <v>12</v>
      </c>
      <c r="G343" s="176">
        <v>21</v>
      </c>
      <c r="H343" s="178">
        <v>60.315927472170173</v>
      </c>
      <c r="I343" s="179">
        <v>61.46846111813521</v>
      </c>
      <c r="J343" s="179">
        <v>7683.557639766901</v>
      </c>
      <c r="K343" s="179">
        <v>1.3689468914507714</v>
      </c>
      <c r="L343" s="180">
        <v>77631835.549576938</v>
      </c>
      <c r="M343" s="179">
        <v>675059.43956153863</v>
      </c>
      <c r="N343" s="179">
        <v>744623.22646088596</v>
      </c>
      <c r="O343" s="181">
        <v>100.51682233023634</v>
      </c>
      <c r="P343" s="179">
        <v>27688082.381494008</v>
      </c>
      <c r="Q343" s="179">
        <v>230734.01984578342</v>
      </c>
      <c r="R343" s="179">
        <v>351692.17658423079</v>
      </c>
      <c r="S343" s="179">
        <v>60.029574145360144</v>
      </c>
      <c r="T343" s="180">
        <v>410532.84167974902</v>
      </c>
      <c r="U343" s="182">
        <v>321632921889.30701</v>
      </c>
      <c r="V343" s="138">
        <v>1</v>
      </c>
      <c r="W343" s="138">
        <v>1</v>
      </c>
      <c r="X343" s="138">
        <v>2</v>
      </c>
      <c r="Y343" s="138">
        <v>3</v>
      </c>
      <c r="Z343" s="138">
        <v>3</v>
      </c>
      <c r="AA343" s="139">
        <v>2</v>
      </c>
      <c r="AB343" s="138">
        <v>3</v>
      </c>
      <c r="AC343" s="138">
        <v>3</v>
      </c>
      <c r="AD343" s="138">
        <v>3</v>
      </c>
      <c r="AE343" s="138">
        <v>3</v>
      </c>
      <c r="AF343" s="137">
        <v>1</v>
      </c>
      <c r="AG343" s="138">
        <v>1</v>
      </c>
      <c r="AH343" s="138">
        <v>2</v>
      </c>
      <c r="AI343" s="138">
        <v>3</v>
      </c>
      <c r="AJ343" s="138">
        <v>3</v>
      </c>
      <c r="AK343" s="172">
        <f t="shared" si="40"/>
        <v>178.16576065827519</v>
      </c>
      <c r="AL343" s="184">
        <f t="shared" si="41"/>
        <v>146.93023002883604</v>
      </c>
      <c r="AM343" s="185">
        <f t="shared" si="46"/>
        <v>122.3391616319699</v>
      </c>
      <c r="AN343" s="186">
        <f t="shared" si="47"/>
        <v>91.103631002530776</v>
      </c>
      <c r="AO343" s="138" t="str">
        <f>IF(head!$F$82="S460","a","c")</f>
        <v>c</v>
      </c>
      <c r="AP343" s="138">
        <f t="shared" si="42"/>
        <v>0.49</v>
      </c>
      <c r="AQ343" s="140">
        <f>IF(head!F$82="S235",235,IF(head!F$82="S275",275,IF(head!F$82="S355",355,IF(head!F$82="S420",420,460))))^0.5*head!$G$70*1000/(S343*3.1416*210000^0.5)</f>
        <v>2.1801600561848726</v>
      </c>
      <c r="AR343" s="140">
        <f t="shared" si="43"/>
        <v>3.361688149057307</v>
      </c>
      <c r="AS343" s="140">
        <f t="shared" si="44"/>
        <v>0.16890280676212066</v>
      </c>
      <c r="AT343" s="141">
        <f>IF(head!F$82="S235",235,IF(head!F$82="S275",275,IF(head!F$82="S355",355,IF(head!F$82="S420",420,460))))*AS343*J343/1000</f>
        <v>460.70993020268349</v>
      </c>
      <c r="AU343" s="199">
        <f t="shared" si="48"/>
        <v>1425.1921884189035</v>
      </c>
      <c r="AV343" s="142">
        <f>3.1416*1.13*head!$G$66/(1.4*head!$G$67)*((1+3.1416^2*AU343^2/(1.4*head!$G$67*1000)^2*(0.45^2+1))^0.5+3.1416*0.45*database!AU343/(1.4*head!$G$67*1000))</f>
        <v>34.716470406360223</v>
      </c>
      <c r="AW343" s="142">
        <f>AV343/(head!$G$66*1000)*(210000*database!P343*81000*database!T343)^0.5</f>
        <v>1526539734.6831725</v>
      </c>
      <c r="AX343" s="143">
        <f>IF(head!$F$82="S235",database!AF343,(IF(head!$F$82="S275",database!AG343,IF(head!$F$82="S355",database!AH343,IF(head!$F$82="S420",database!AI343,database!AJ343)))))</f>
        <v>2</v>
      </c>
      <c r="AY343" s="135">
        <f t="shared" si="45"/>
        <v>744623.22646088596</v>
      </c>
      <c r="AZ343" s="200">
        <f>(AY343*VLOOKUP(head!$F$82,head!$L$1:$M$5,2)/AW343)^0.5</f>
        <v>0.41612940867256332</v>
      </c>
      <c r="BA343" s="144" t="str">
        <f t="shared" si="38"/>
        <v>HEA 260</v>
      </c>
    </row>
    <row r="344" spans="1:53">
      <c r="A344" s="175" t="s">
        <v>220</v>
      </c>
      <c r="B344" s="129">
        <f t="shared" si="39"/>
        <v>597.64877691948277</v>
      </c>
      <c r="C344" s="176">
        <v>250</v>
      </c>
      <c r="D344" s="176">
        <v>260</v>
      </c>
      <c r="E344" s="177">
        <v>7.5</v>
      </c>
      <c r="F344" s="176">
        <v>12.5</v>
      </c>
      <c r="G344" s="176">
        <v>24</v>
      </c>
      <c r="H344" s="178">
        <v>68.153249657528406</v>
      </c>
      <c r="I344" s="179">
        <v>69.455541052258241</v>
      </c>
      <c r="J344" s="179">
        <v>8681.9426315322798</v>
      </c>
      <c r="K344" s="179">
        <v>1.48379644737231</v>
      </c>
      <c r="L344" s="180">
        <v>104549554.33142599</v>
      </c>
      <c r="M344" s="179">
        <v>836396.434651408</v>
      </c>
      <c r="N344" s="179">
        <v>919771.04789060669</v>
      </c>
      <c r="O344" s="181">
        <v>109.73688725516251</v>
      </c>
      <c r="P344" s="179">
        <v>36675632.290801637</v>
      </c>
      <c r="Q344" s="179">
        <v>282120.24839078181</v>
      </c>
      <c r="R344" s="179">
        <v>430168.84552502073</v>
      </c>
      <c r="S344" s="179">
        <v>64.995060003779187</v>
      </c>
      <c r="T344" s="180">
        <v>520318.92016946204</v>
      </c>
      <c r="U344" s="182">
        <v>504968898475.961</v>
      </c>
      <c r="V344" s="138">
        <v>1</v>
      </c>
      <c r="W344" s="138">
        <v>1</v>
      </c>
      <c r="X344" s="138">
        <v>3</v>
      </c>
      <c r="Y344" s="138">
        <v>3</v>
      </c>
      <c r="Z344" s="138">
        <v>3</v>
      </c>
      <c r="AA344" s="139">
        <v>2</v>
      </c>
      <c r="AB344" s="138">
        <v>3</v>
      </c>
      <c r="AC344" s="138">
        <v>3</v>
      </c>
      <c r="AD344" s="138">
        <v>3</v>
      </c>
      <c r="AE344" s="138">
        <v>3</v>
      </c>
      <c r="AF344" s="137">
        <v>1</v>
      </c>
      <c r="AG344" s="138">
        <v>1</v>
      </c>
      <c r="AH344" s="138">
        <v>3</v>
      </c>
      <c r="AI344" s="138">
        <v>3</v>
      </c>
      <c r="AJ344" s="138">
        <v>3</v>
      </c>
      <c r="AK344" s="172">
        <f t="shared" si="40"/>
        <v>170.90604146395219</v>
      </c>
      <c r="AL344" s="184">
        <f t="shared" si="41"/>
        <v>140.95882676390383</v>
      </c>
      <c r="AM344" s="185">
        <f t="shared" si="46"/>
        <v>117.4852269001897</v>
      </c>
      <c r="AN344" s="186">
        <f t="shared" si="47"/>
        <v>87.538012200141353</v>
      </c>
      <c r="AO344" s="138" t="str">
        <f>IF(head!$F$82="S460","a","c")</f>
        <v>c</v>
      </c>
      <c r="AP344" s="138">
        <f t="shared" si="42"/>
        <v>0.49</v>
      </c>
      <c r="AQ344" s="140">
        <f>IF(head!F$82="S235",235,IF(head!F$82="S275",275,IF(head!F$82="S355",355,IF(head!F$82="S420",420,460))))^0.5*head!$G$70*1000/(S344*3.1416*210000^0.5)</f>
        <v>2.0136004141528998</v>
      </c>
      <c r="AR344" s="140">
        <f t="shared" si="43"/>
        <v>2.9716254154058253</v>
      </c>
      <c r="AS344" s="140">
        <f t="shared" si="44"/>
        <v>0.19391025176196158</v>
      </c>
      <c r="AT344" s="141">
        <f>IF(head!F$82="S235",235,IF(head!F$82="S275",275,IF(head!F$82="S355",355,IF(head!F$82="S420",420,460))))*AS344*J344/1000</f>
        <v>597.64877691948277</v>
      </c>
      <c r="AU344" s="199">
        <f t="shared" si="48"/>
        <v>1586.224465195128</v>
      </c>
      <c r="AV344" s="142">
        <f>3.1416*1.13*head!$G$66/(1.4*head!$G$67)*((1+3.1416^2*AU344^2/(1.4*head!$G$67*1000)^2*(0.45^2+1))^0.5+3.1416*0.45*database!AU344/(1.4*head!$G$67*1000))</f>
        <v>37.957271181582307</v>
      </c>
      <c r="AW344" s="142">
        <f>AV344/(head!$G$66*1000)*(210000*database!P344*81000*database!T344)^0.5</f>
        <v>2162572885.7116294</v>
      </c>
      <c r="AX344" s="143">
        <f>IF(head!$F$82="S235",database!AF344,(IF(head!$F$82="S275",database!AG344,IF(head!$F$82="S355",database!AH344,IF(head!$F$82="S420",database!AI344,database!AJ344)))))</f>
        <v>3</v>
      </c>
      <c r="AY344" s="135">
        <f t="shared" si="45"/>
        <v>836396.434651408</v>
      </c>
      <c r="AZ344" s="200">
        <f>(AY344*VLOOKUP(head!$F$82,head!$L$1:$M$5,2)/AW344)^0.5</f>
        <v>0.3705398199943758</v>
      </c>
      <c r="BA344" s="144" t="str">
        <f t="shared" si="38"/>
        <v>HEA 280</v>
      </c>
    </row>
    <row r="345" spans="1:53">
      <c r="A345" s="175" t="s">
        <v>221</v>
      </c>
      <c r="B345" s="129">
        <f t="shared" si="39"/>
        <v>759.35713466301138</v>
      </c>
      <c r="C345" s="176">
        <v>270</v>
      </c>
      <c r="D345" s="176">
        <v>280</v>
      </c>
      <c r="E345" s="177">
        <v>8</v>
      </c>
      <c r="F345" s="176">
        <v>13</v>
      </c>
      <c r="G345" s="176">
        <v>24</v>
      </c>
      <c r="H345" s="178">
        <v>76.352574657528407</v>
      </c>
      <c r="I345" s="179">
        <v>77.811541052258235</v>
      </c>
      <c r="J345" s="179">
        <v>9726.4426315322798</v>
      </c>
      <c r="K345" s="179">
        <v>1.60279644737231</v>
      </c>
      <c r="L345" s="180">
        <v>136732984.10551</v>
      </c>
      <c r="M345" s="179">
        <v>1012836.919300074</v>
      </c>
      <c r="N345" s="179">
        <v>1112223.3778901633</v>
      </c>
      <c r="O345" s="181">
        <v>118.56585331516249</v>
      </c>
      <c r="P345" s="179">
        <v>47626416.095395282</v>
      </c>
      <c r="Q345" s="179">
        <v>340188.68639568059</v>
      </c>
      <c r="R345" s="179">
        <v>518132.39368290373</v>
      </c>
      <c r="S345" s="179">
        <v>69.9756491748565</v>
      </c>
      <c r="T345" s="180">
        <v>614237.66016005201</v>
      </c>
      <c r="U345" s="182">
        <v>770111985661.77905</v>
      </c>
      <c r="V345" s="138">
        <v>1</v>
      </c>
      <c r="W345" s="138">
        <v>2</v>
      </c>
      <c r="X345" s="138">
        <v>3</v>
      </c>
      <c r="Y345" s="138">
        <v>3</v>
      </c>
      <c r="Z345" s="138">
        <v>3</v>
      </c>
      <c r="AA345" s="139">
        <v>3</v>
      </c>
      <c r="AB345" s="138">
        <v>3</v>
      </c>
      <c r="AC345" s="138">
        <v>3</v>
      </c>
      <c r="AD345" s="138">
        <v>3</v>
      </c>
      <c r="AE345" s="138">
        <v>4</v>
      </c>
      <c r="AF345" s="137">
        <v>1</v>
      </c>
      <c r="AG345" s="138">
        <v>2</v>
      </c>
      <c r="AH345" s="138">
        <v>3</v>
      </c>
      <c r="AI345" s="138">
        <v>3</v>
      </c>
      <c r="AJ345" s="138">
        <v>3</v>
      </c>
      <c r="AK345" s="172">
        <f t="shared" si="40"/>
        <v>164.78752901664001</v>
      </c>
      <c r="AL345" s="184">
        <f t="shared" si="41"/>
        <v>136.00002565006852</v>
      </c>
      <c r="AM345" s="185">
        <f t="shared" si="46"/>
        <v>113.09376322581657</v>
      </c>
      <c r="AN345" s="186">
        <f t="shared" si="47"/>
        <v>84.306259859245088</v>
      </c>
      <c r="AO345" s="138" t="str">
        <f>IF(head!$F$82="S460","a","c")</f>
        <v>c</v>
      </c>
      <c r="AP345" s="138">
        <f t="shared" si="42"/>
        <v>0.49</v>
      </c>
      <c r="AQ345" s="140">
        <f>IF(head!F$82="S235",235,IF(head!F$82="S275",275,IF(head!F$82="S355",355,IF(head!F$82="S420",420,460))))^0.5*head!$G$70*1000/(S345*3.1416*210000^0.5)</f>
        <v>1.8702803230088183</v>
      </c>
      <c r="AR345" s="140">
        <f t="shared" si="43"/>
        <v>2.6581929224541452</v>
      </c>
      <c r="AS345" s="140">
        <f t="shared" si="44"/>
        <v>0.21991947757084027</v>
      </c>
      <c r="AT345" s="141">
        <f>IF(head!F$82="S235",235,IF(head!F$82="S275",275,IF(head!F$82="S355",355,IF(head!F$82="S420",420,460))))*AS345*J345/1000</f>
        <v>759.35713466301138</v>
      </c>
      <c r="AU345" s="199">
        <f t="shared" si="48"/>
        <v>1802.9175199374779</v>
      </c>
      <c r="AV345" s="142">
        <f>3.1416*1.13*head!$G$66/(1.4*head!$G$67)*((1+3.1416^2*AU345^2/(1.4*head!$G$67*1000)^2*(0.45^2+1))^0.5+3.1416*0.45*database!AU345/(1.4*head!$G$67*1000))</f>
        <v>42.391301460904842</v>
      </c>
      <c r="AW345" s="142">
        <f>AV345/(head!$G$66*1000)*(210000*database!P345*81000*database!T345)^0.5</f>
        <v>2990343497.168489</v>
      </c>
      <c r="AX345" s="143">
        <f>IF(head!$F$82="S235",database!AF345,(IF(head!$F$82="S275",database!AG345,IF(head!$F$82="S355",database!AH345,IF(head!$F$82="S420",database!AI345,database!AJ345)))))</f>
        <v>3</v>
      </c>
      <c r="AY345" s="135">
        <f t="shared" si="45"/>
        <v>1012836.919300074</v>
      </c>
      <c r="AZ345" s="200">
        <f>(AY345*VLOOKUP(head!$F$82,head!$L$1:$M$5,2)/AW345)^0.5</f>
        <v>0.34675553273793447</v>
      </c>
      <c r="BA345" s="144" t="str">
        <f t="shared" si="38"/>
        <v>HEA 300</v>
      </c>
    </row>
    <row r="346" spans="1:53">
      <c r="A346" s="175" t="s">
        <v>222</v>
      </c>
      <c r="B346" s="129">
        <f t="shared" si="39"/>
        <v>983.71263048192566</v>
      </c>
      <c r="C346" s="176">
        <v>290</v>
      </c>
      <c r="D346" s="176">
        <v>300</v>
      </c>
      <c r="E346" s="177">
        <v>8.5</v>
      </c>
      <c r="F346" s="176">
        <v>14</v>
      </c>
      <c r="G346" s="176">
        <v>27</v>
      </c>
      <c r="H346" s="178">
        <v>88.334314800934365</v>
      </c>
      <c r="I346" s="179">
        <v>90.022231644264323</v>
      </c>
      <c r="J346" s="179">
        <v>11252.77895553304</v>
      </c>
      <c r="K346" s="179">
        <v>1.7166460032938489</v>
      </c>
      <c r="L346" s="180">
        <v>182634978.73102456</v>
      </c>
      <c r="M346" s="179">
        <v>1259551.5774553418</v>
      </c>
      <c r="N346" s="179">
        <v>1383271.5113754363</v>
      </c>
      <c r="O346" s="181">
        <v>127.39784602954393</v>
      </c>
      <c r="P346" s="179">
        <v>63095590.871741958</v>
      </c>
      <c r="Q346" s="179">
        <v>420637.27247827972</v>
      </c>
      <c r="R346" s="179">
        <v>641165.96736040746</v>
      </c>
      <c r="S346" s="179">
        <v>74.880651087555648</v>
      </c>
      <c r="T346" s="180">
        <v>842865.06005215202</v>
      </c>
      <c r="U346" s="182">
        <v>1174664602889.02</v>
      </c>
      <c r="V346" s="138">
        <v>1</v>
      </c>
      <c r="W346" s="138">
        <v>2</v>
      </c>
      <c r="X346" s="138">
        <v>3</v>
      </c>
      <c r="Y346" s="138">
        <v>3</v>
      </c>
      <c r="Z346" s="138">
        <v>3</v>
      </c>
      <c r="AA346" s="139">
        <v>2</v>
      </c>
      <c r="AB346" s="138">
        <v>3</v>
      </c>
      <c r="AC346" s="138">
        <v>3</v>
      </c>
      <c r="AD346" s="138">
        <v>3</v>
      </c>
      <c r="AE346" s="138">
        <v>3</v>
      </c>
      <c r="AF346" s="137">
        <v>1</v>
      </c>
      <c r="AG346" s="138">
        <v>2</v>
      </c>
      <c r="AH346" s="138">
        <v>3</v>
      </c>
      <c r="AI346" s="138">
        <v>3</v>
      </c>
      <c r="AJ346" s="138">
        <v>3</v>
      </c>
      <c r="AK346" s="172">
        <f t="shared" si="40"/>
        <v>152.55307245236224</v>
      </c>
      <c r="AL346" s="184">
        <f t="shared" si="41"/>
        <v>125.89299131280615</v>
      </c>
      <c r="AM346" s="185">
        <f>2*(C346+D346)/J346*1000</f>
        <v>104.86298581558725</v>
      </c>
      <c r="AN346" s="186">
        <f t="shared" si="47"/>
        <v>78.202904676031181</v>
      </c>
      <c r="AO346" s="138" t="str">
        <f>IF(head!$F$82="S460","a","c")</f>
        <v>c</v>
      </c>
      <c r="AP346" s="138">
        <f t="shared" si="42"/>
        <v>0.49</v>
      </c>
      <c r="AQ346" s="140">
        <f>IF(head!F$82="S235",235,IF(head!F$82="S275",275,IF(head!F$82="S355",355,IF(head!F$82="S420",420,460))))^0.5*head!$G$70*1000/(S346*3.1416*210000^0.5)</f>
        <v>1.7477689875916715</v>
      </c>
      <c r="AR346" s="140">
        <f t="shared" si="43"/>
        <v>2.4065516189535678</v>
      </c>
      <c r="AS346" s="140">
        <f t="shared" si="44"/>
        <v>0.24625219292633135</v>
      </c>
      <c r="AT346" s="141">
        <f>IF(head!F$82="S235",235,IF(head!F$82="S275",275,IF(head!F$82="S355",355,IF(head!F$82="S420",420,460))))*AS346*J346/1000</f>
        <v>983.71263048192566</v>
      </c>
      <c r="AU346" s="199">
        <f t="shared" si="48"/>
        <v>1900.8377721962017</v>
      </c>
      <c r="AV346" s="142">
        <f>3.1416*1.13*head!$G$66/(1.4*head!$G$67)*((1+3.1416^2*AU346^2/(1.4*head!$G$67*1000)^2*(0.45^2+1))^0.5+3.1416*0.45*database!AU346/(1.4*head!$G$67*1000))</f>
        <v>44.416775162837766</v>
      </c>
      <c r="AW346" s="142">
        <f>AV346/(head!$G$66*1000)*(210000*database!P346*81000*database!T346)^0.5</f>
        <v>4224523322.0446124</v>
      </c>
      <c r="AX346" s="143">
        <f>IF(head!$F$82="S235",database!AF346,(IF(head!$F$82="S275",database!AG346,IF(head!$F$82="S355",database!AH346,IF(head!$F$82="S420",database!AI346,database!AJ346)))))</f>
        <v>3</v>
      </c>
      <c r="AY346" s="135">
        <f t="shared" si="45"/>
        <v>1259551.5774553418</v>
      </c>
      <c r="AZ346" s="200">
        <f>(AY346*VLOOKUP(head!$F$82,head!$L$1:$M$5,2)/AW346)^0.5</f>
        <v>0.32533688085548257</v>
      </c>
      <c r="BA346" s="144" t="str">
        <f t="shared" si="38"/>
        <v>HEA 320</v>
      </c>
    </row>
    <row r="347" spans="1:53">
      <c r="A347" s="175" t="s">
        <v>223</v>
      </c>
      <c r="B347" s="129">
        <f t="shared" si="39"/>
        <v>1088.7349404667411</v>
      </c>
      <c r="C347" s="176">
        <v>310</v>
      </c>
      <c r="D347" s="176">
        <v>300</v>
      </c>
      <c r="E347" s="177">
        <v>9</v>
      </c>
      <c r="F347" s="176">
        <v>15.5</v>
      </c>
      <c r="G347" s="176">
        <v>27</v>
      </c>
      <c r="H347" s="178">
        <v>97.628714800934361</v>
      </c>
      <c r="I347" s="179">
        <v>99.494231644264332</v>
      </c>
      <c r="J347" s="179">
        <v>12436.77895553304</v>
      </c>
      <c r="K347" s="179">
        <v>1.755646003293849</v>
      </c>
      <c r="L347" s="180">
        <v>229285914.37061092</v>
      </c>
      <c r="M347" s="179">
        <v>1479263.9636813607</v>
      </c>
      <c r="N347" s="179">
        <v>1628089.3824974671</v>
      </c>
      <c r="O347" s="181">
        <v>135.77966414914602</v>
      </c>
      <c r="P347" s="179">
        <v>69852387.633273557</v>
      </c>
      <c r="Q347" s="179">
        <v>465682.58422182372</v>
      </c>
      <c r="R347" s="179">
        <v>709739.78709929076</v>
      </c>
      <c r="S347" s="179">
        <v>74.943965640628292</v>
      </c>
      <c r="T347" s="180">
        <v>1088778.6014992499</v>
      </c>
      <c r="U347" s="182">
        <v>1482525583561.53</v>
      </c>
      <c r="V347" s="138">
        <v>1</v>
      </c>
      <c r="W347" s="138">
        <v>1</v>
      </c>
      <c r="X347" s="138">
        <v>2</v>
      </c>
      <c r="Y347" s="138">
        <v>3</v>
      </c>
      <c r="Z347" s="138">
        <v>3</v>
      </c>
      <c r="AA347" s="139">
        <v>1</v>
      </c>
      <c r="AB347" s="138">
        <v>2</v>
      </c>
      <c r="AC347" s="138">
        <v>3</v>
      </c>
      <c r="AD347" s="138">
        <v>3</v>
      </c>
      <c r="AE347" s="138">
        <v>3</v>
      </c>
      <c r="AF347" s="137">
        <v>1</v>
      </c>
      <c r="AG347" s="138">
        <v>1</v>
      </c>
      <c r="AH347" s="138">
        <v>2</v>
      </c>
      <c r="AI347" s="138">
        <v>3</v>
      </c>
      <c r="AJ347" s="138">
        <v>3</v>
      </c>
      <c r="AK347" s="172">
        <f t="shared" si="40"/>
        <v>141.16565145774936</v>
      </c>
      <c r="AL347" s="184">
        <f t="shared" si="41"/>
        <v>117.0436500076446</v>
      </c>
      <c r="AM347" s="185">
        <f t="shared" si="46"/>
        <v>98.096139230425919</v>
      </c>
      <c r="AN347" s="186">
        <f t="shared" si="47"/>
        <v>73.974137780321172</v>
      </c>
      <c r="AO347" s="138" t="str">
        <f>IF(head!$F$82="S460","a","c")</f>
        <v>c</v>
      </c>
      <c r="AP347" s="138">
        <f t="shared" si="42"/>
        <v>0.49</v>
      </c>
      <c r="AQ347" s="140">
        <f>IF(head!F$82="S235",235,IF(head!F$82="S275",275,IF(head!F$82="S355",355,IF(head!F$82="S420",420,460))))^0.5*head!$G$70*1000/(S347*3.1416*210000^0.5)</f>
        <v>1.7462924282532692</v>
      </c>
      <c r="AR347" s="140">
        <f t="shared" si="43"/>
        <v>2.4036102674094009</v>
      </c>
      <c r="AS347" s="140">
        <f t="shared" si="44"/>
        <v>0.2465959231241166</v>
      </c>
      <c r="AT347" s="141">
        <f>IF(head!F$82="S235",235,IF(head!F$82="S275",275,IF(head!F$82="S355",355,IF(head!F$82="S420",420,460))))*AS347*J347/1000</f>
        <v>1088.7349404667411</v>
      </c>
      <c r="AU347" s="199">
        <f t="shared" si="48"/>
        <v>1878.8774228201801</v>
      </c>
      <c r="AV347" s="141">
        <f>3.1416*1.13*head!$G$66/(1.4*head!$G$67)*((1+3.1416^2*AU347^2/(1.4*head!$G$67*1000)^2*(0.45^2+1))^0.5+3.1416*0.45*database!AU347/(1.4*head!$G$67*1000))</f>
        <v>43.961499861869413</v>
      </c>
      <c r="AW347" s="141">
        <f>AV347/(head!$G$66*1000)*(210000*database!P347*81000*database!T347)^0.5</f>
        <v>5000173498.8510685</v>
      </c>
      <c r="AX347" s="183">
        <f>IF(head!$F$82="S235",database!AF347,(IF(head!$F$82="S275",database!AG347,IF(head!$F$82="S355",database!AH347,IF(head!$F$82="S420",database!AI347,database!AJ347)))))</f>
        <v>2</v>
      </c>
      <c r="AY347" s="141">
        <f t="shared" si="45"/>
        <v>1628089.3824974671</v>
      </c>
      <c r="AZ347" s="202">
        <f>(AY347*VLOOKUP(head!$F$82,head!$L$1:$M$5,2)/AW347)^0.5</f>
        <v>0.33998578676063773</v>
      </c>
      <c r="BA347" s="144" t="str">
        <f t="shared" si="38"/>
        <v>HEA 340</v>
      </c>
    </row>
    <row r="348" spans="1:53">
      <c r="A348" s="175" t="s">
        <v>224</v>
      </c>
      <c r="B348" s="129">
        <f t="shared" si="39"/>
        <v>1160.6335189873937</v>
      </c>
      <c r="C348" s="176">
        <v>330</v>
      </c>
      <c r="D348" s="176">
        <v>300</v>
      </c>
      <c r="E348" s="177">
        <v>9.5</v>
      </c>
      <c r="F348" s="176">
        <v>16.5</v>
      </c>
      <c r="G348" s="176">
        <v>27</v>
      </c>
      <c r="H348" s="178">
        <v>104.77613980093436</v>
      </c>
      <c r="I348" s="179">
        <v>106.77823164426432</v>
      </c>
      <c r="J348" s="179">
        <v>13347.27895553304</v>
      </c>
      <c r="K348" s="179">
        <v>1.7946460032938489</v>
      </c>
      <c r="L348" s="180">
        <v>276931062.72596353</v>
      </c>
      <c r="M348" s="179">
        <v>1678370.0771270518</v>
      </c>
      <c r="N348" s="179">
        <v>1850475.5180972645</v>
      </c>
      <c r="O348" s="181">
        <v>144.04210768744375</v>
      </c>
      <c r="P348" s="179">
        <v>74359992.544257924</v>
      </c>
      <c r="Q348" s="179">
        <v>495733.28362838615</v>
      </c>
      <c r="R348" s="179">
        <v>755947.54433817405</v>
      </c>
      <c r="S348" s="179">
        <v>74.640286915810847</v>
      </c>
      <c r="T348" s="180">
        <v>1287720.31542385</v>
      </c>
      <c r="U348" s="182">
        <v>1790163326292.1201</v>
      </c>
      <c r="V348" s="138">
        <v>1</v>
      </c>
      <c r="W348" s="138">
        <v>1</v>
      </c>
      <c r="X348" s="138">
        <v>1</v>
      </c>
      <c r="Y348" s="138">
        <v>2</v>
      </c>
      <c r="Z348" s="138">
        <v>3</v>
      </c>
      <c r="AA348" s="139">
        <v>1</v>
      </c>
      <c r="AB348" s="138">
        <v>2</v>
      </c>
      <c r="AC348" s="138">
        <v>3</v>
      </c>
      <c r="AD348" s="138">
        <v>3</v>
      </c>
      <c r="AE348" s="138">
        <v>4</v>
      </c>
      <c r="AF348" s="137">
        <v>1</v>
      </c>
      <c r="AG348" s="138">
        <v>1</v>
      </c>
      <c r="AH348" s="138">
        <v>1</v>
      </c>
      <c r="AI348" s="138">
        <v>2</v>
      </c>
      <c r="AJ348" s="138">
        <v>3</v>
      </c>
      <c r="AK348" s="172">
        <f t="shared" si="40"/>
        <v>134.45781790226903</v>
      </c>
      <c r="AL348" s="184">
        <f t="shared" si="41"/>
        <v>111.98132655152546</v>
      </c>
      <c r="AM348" s="185">
        <f t="shared" si="46"/>
        <v>94.401263673122969</v>
      </c>
      <c r="AN348" s="186">
        <f t="shared" si="47"/>
        <v>71.924772322379411</v>
      </c>
      <c r="AO348" s="138" t="str">
        <f>IF(head!$F$82="S460","a","c")</f>
        <v>c</v>
      </c>
      <c r="AP348" s="138">
        <f t="shared" si="42"/>
        <v>0.49</v>
      </c>
      <c r="AQ348" s="140">
        <f>IF(head!F$82="S235",235,IF(head!F$82="S275",275,IF(head!F$82="S355",355,IF(head!F$82="S420",420,460))))^0.5*head!$G$70*1000/(S348*3.1416*210000^0.5)</f>
        <v>1.7533973293687817</v>
      </c>
      <c r="AR348" s="140">
        <f t="shared" si="43"/>
        <v>2.4177834430141392</v>
      </c>
      <c r="AS348" s="140">
        <f t="shared" si="44"/>
        <v>0.24494806808359837</v>
      </c>
      <c r="AT348" s="141">
        <f>IF(head!F$82="S235",235,IF(head!F$82="S275",275,IF(head!F$82="S355",355,IF(head!F$82="S420",420,460))))*AS348*J348/1000</f>
        <v>1160.6335189873937</v>
      </c>
      <c r="AU348" s="199">
        <f t="shared" si="48"/>
        <v>1898.4654252144333</v>
      </c>
      <c r="AV348" s="141">
        <f>3.1416*1.13*head!$G$66/(1.4*head!$G$67)*((1+3.1416^2*AU348^2/(1.4*head!$G$67*1000)^2*(0.45^2+1))^0.5+3.1416*0.45*database!AU348/(1.4*head!$G$67*1000))</f>
        <v>44.367564989596879</v>
      </c>
      <c r="AW348" s="141">
        <f>AV348/(head!$G$66*1000)*(210000*database!P348*81000*database!T348)^0.5</f>
        <v>5662369335.2265368</v>
      </c>
      <c r="AX348" s="183">
        <f>IF(head!$F$82="S235",database!AF348,(IF(head!$F$82="S275",database!AG348,IF(head!$F$82="S355",database!AH348,IF(head!$F$82="S420",database!AI348,database!AJ348)))))</f>
        <v>1</v>
      </c>
      <c r="AY348" s="141">
        <f t="shared" si="45"/>
        <v>1850475.5180972645</v>
      </c>
      <c r="AZ348" s="202">
        <f>(AY348*VLOOKUP(head!$F$82,head!$L$1:$M$5,2)/AW348)^0.5</f>
        <v>0.34060949602382939</v>
      </c>
      <c r="BA348" s="144" t="str">
        <f t="shared" si="38"/>
        <v>HEA 360</v>
      </c>
    </row>
    <row r="349" spans="1:53">
      <c r="A349" s="175" t="s">
        <v>225</v>
      </c>
      <c r="B349" s="129">
        <f t="shared" si="39"/>
        <v>1232.7920702663966</v>
      </c>
      <c r="C349" s="176">
        <v>350</v>
      </c>
      <c r="D349" s="176">
        <v>300</v>
      </c>
      <c r="E349" s="177">
        <v>10</v>
      </c>
      <c r="F349" s="176">
        <v>17.5</v>
      </c>
      <c r="G349" s="176">
        <v>27</v>
      </c>
      <c r="H349" s="178">
        <v>112.06486480093436</v>
      </c>
      <c r="I349" s="179">
        <v>114.20623164426432</v>
      </c>
      <c r="J349" s="179">
        <v>14275.77895553304</v>
      </c>
      <c r="K349" s="179">
        <v>1.8336460032938489</v>
      </c>
      <c r="L349" s="180">
        <v>330897896.77211249</v>
      </c>
      <c r="M349" s="179">
        <v>1890845.1244120714</v>
      </c>
      <c r="N349" s="179">
        <v>2088473.6536970618</v>
      </c>
      <c r="O349" s="181">
        <v>152.2464223771355</v>
      </c>
      <c r="P349" s="179">
        <v>78868434.865111738</v>
      </c>
      <c r="Q349" s="179">
        <v>525789.56576741161</v>
      </c>
      <c r="R349" s="179">
        <v>802277.92657705722</v>
      </c>
      <c r="S349" s="179">
        <v>74.327872793724495</v>
      </c>
      <c r="T349" s="180">
        <v>1510703.4781973199</v>
      </c>
      <c r="U349" s="182">
        <v>2137653130202.47</v>
      </c>
      <c r="V349" s="138">
        <v>1</v>
      </c>
      <c r="W349" s="138">
        <v>1</v>
      </c>
      <c r="X349" s="138">
        <v>1</v>
      </c>
      <c r="Y349" s="138">
        <v>2</v>
      </c>
      <c r="Z349" s="138">
        <v>2</v>
      </c>
      <c r="AA349" s="139">
        <v>1</v>
      </c>
      <c r="AB349" s="138">
        <v>2</v>
      </c>
      <c r="AC349" s="138">
        <v>2</v>
      </c>
      <c r="AD349" s="138">
        <v>3</v>
      </c>
      <c r="AE349" s="138">
        <v>4</v>
      </c>
      <c r="AF349" s="137">
        <v>1</v>
      </c>
      <c r="AG349" s="138">
        <v>1</v>
      </c>
      <c r="AH349" s="138">
        <v>1</v>
      </c>
      <c r="AI349" s="138">
        <v>2</v>
      </c>
      <c r="AJ349" s="138">
        <v>2</v>
      </c>
      <c r="AK349" s="172">
        <f t="shared" si="40"/>
        <v>128.44454996153885</v>
      </c>
      <c r="AL349" s="184">
        <f t="shared" si="41"/>
        <v>107.42993486176351</v>
      </c>
      <c r="AM349" s="185">
        <f t="shared" si="46"/>
        <v>91.063332099026582</v>
      </c>
      <c r="AN349" s="186">
        <f t="shared" si="47"/>
        <v>70.048716999251226</v>
      </c>
      <c r="AO349" s="138" t="str">
        <f>IF(head!$F$82="S460","a","c")</f>
        <v>c</v>
      </c>
      <c r="AP349" s="138">
        <f t="shared" si="42"/>
        <v>0.49</v>
      </c>
      <c r="AQ349" s="140">
        <f>IF(head!F$82="S235",235,IF(head!F$82="S275",275,IF(head!F$82="S355",355,IF(head!F$82="S420",420,460))))^0.5*head!$G$70*1000/(S349*3.1416*210000^0.5)</f>
        <v>1.7607671903204534</v>
      </c>
      <c r="AR349" s="140">
        <f t="shared" si="43"/>
        <v>2.4325385108830027</v>
      </c>
      <c r="AS349" s="140">
        <f t="shared" si="44"/>
        <v>0.24325493760285025</v>
      </c>
      <c r="AT349" s="141">
        <f>IF(head!F$82="S235",235,IF(head!F$82="S275",275,IF(head!F$82="S355",355,IF(head!F$82="S420",420,460))))*AS349*J349/1000</f>
        <v>1232.7920702663966</v>
      </c>
      <c r="AU349" s="199">
        <f t="shared" si="48"/>
        <v>1915.3411569603393</v>
      </c>
      <c r="AV349" s="141">
        <f>3.1416*1.13*head!$G$66/(1.4*head!$G$67)*((1+3.1416^2*AU349^2/(1.4*head!$G$67*1000)^2*(0.45^2+1))^0.5+3.1416*0.45*database!AU349/(1.4*head!$G$67*1000))</f>
        <v>44.717764384299876</v>
      </c>
      <c r="AW349" s="141">
        <f>AV349/(head!$G$66*1000)*(210000*database!P349*81000*database!T349)^0.5</f>
        <v>6366100140.3934355</v>
      </c>
      <c r="AX349" s="183">
        <f>IF(head!$F$82="S235",database!AF349,(IF(head!$F$82="S275",database!AG349,IF(head!$F$82="S355",database!AH349,IF(head!$F$82="S420",database!AI349,database!AJ349)))))</f>
        <v>1</v>
      </c>
      <c r="AY349" s="141">
        <f t="shared" si="45"/>
        <v>2088473.6536970618</v>
      </c>
      <c r="AZ349" s="202">
        <f>(AY349*VLOOKUP(head!$F$82,head!$L$1:$M$5,2)/AW349)^0.5</f>
        <v>0.34126515288634229</v>
      </c>
      <c r="BA349" s="144" t="str">
        <f t="shared" si="38"/>
        <v>HEA 400</v>
      </c>
    </row>
    <row r="350" spans="1:53">
      <c r="A350" s="175" t="s">
        <v>226</v>
      </c>
      <c r="B350" s="129">
        <f t="shared" si="39"/>
        <v>1445.8839218895612</v>
      </c>
      <c r="C350" s="176">
        <v>390</v>
      </c>
      <c r="D350" s="176">
        <v>300</v>
      </c>
      <c r="E350" s="177">
        <v>11</v>
      </c>
      <c r="F350" s="176">
        <v>19</v>
      </c>
      <c r="G350" s="176">
        <v>27</v>
      </c>
      <c r="H350" s="178">
        <v>124.79756480093435</v>
      </c>
      <c r="I350" s="179">
        <v>127.18223164426432</v>
      </c>
      <c r="J350" s="179">
        <v>15897.77895553304</v>
      </c>
      <c r="K350" s="179">
        <v>1.9116460032938489</v>
      </c>
      <c r="L350" s="180">
        <v>450693960.47310156</v>
      </c>
      <c r="M350" s="179">
        <v>2311251.0793492389</v>
      </c>
      <c r="N350" s="179">
        <v>2561799.0643744231</v>
      </c>
      <c r="O350" s="181">
        <v>168.37307444625358</v>
      </c>
      <c r="P350" s="179">
        <v>85638286.903094321</v>
      </c>
      <c r="Q350" s="179">
        <v>570921.91268729547</v>
      </c>
      <c r="R350" s="179">
        <v>872863.81605482381</v>
      </c>
      <c r="S350" s="179">
        <v>73.394878938006741</v>
      </c>
      <c r="T350" s="180">
        <v>1914409.9234610801</v>
      </c>
      <c r="U350" s="182">
        <v>2893573895624</v>
      </c>
      <c r="V350" s="138">
        <v>1</v>
      </c>
      <c r="W350" s="138">
        <v>1</v>
      </c>
      <c r="X350" s="138">
        <v>2</v>
      </c>
      <c r="Y350" s="138">
        <v>2</v>
      </c>
      <c r="Z350" s="138">
        <v>2</v>
      </c>
      <c r="AA350" s="139">
        <v>1</v>
      </c>
      <c r="AB350" s="138">
        <v>2</v>
      </c>
      <c r="AC350" s="138">
        <v>3</v>
      </c>
      <c r="AD350" s="138">
        <v>4</v>
      </c>
      <c r="AE350" s="138">
        <v>4</v>
      </c>
      <c r="AF350" s="137">
        <v>1</v>
      </c>
      <c r="AG350" s="138">
        <v>1</v>
      </c>
      <c r="AH350" s="138">
        <v>1</v>
      </c>
      <c r="AI350" s="138">
        <v>1</v>
      </c>
      <c r="AJ350" s="138">
        <v>1</v>
      </c>
      <c r="AK350" s="172">
        <f t="shared" si="40"/>
        <v>120.24610536105878</v>
      </c>
      <c r="AL350" s="184">
        <f t="shared" si="41"/>
        <v>101.37554483564725</v>
      </c>
      <c r="AM350" s="185">
        <f t="shared" si="46"/>
        <v>86.804578416893051</v>
      </c>
      <c r="AN350" s="186">
        <f t="shared" si="47"/>
        <v>67.934017891481531</v>
      </c>
      <c r="AO350" s="138" t="str">
        <f>IF(head!$F$82="S460","a0","b")</f>
        <v>b</v>
      </c>
      <c r="AP350" s="138">
        <f t="shared" si="42"/>
        <v>0.34</v>
      </c>
      <c r="AQ350" s="140">
        <f>IF(head!F$82="S235",235,IF(head!F$82="S275",275,IF(head!F$82="S355",355,IF(head!F$82="S420",420,460))))^0.5*head!$G$70*1000/(S350*3.1416*210000^0.5)</f>
        <v>1.7831500185734437</v>
      </c>
      <c r="AR350" s="140">
        <f t="shared" si="43"/>
        <v>2.3589474975267217</v>
      </c>
      <c r="AS350" s="140">
        <f t="shared" si="44"/>
        <v>0.25619380338719594</v>
      </c>
      <c r="AT350" s="141">
        <f>IF(head!F$82="S235",235,IF(head!F$82="S275",275,IF(head!F$82="S355",355,IF(head!F$82="S420",420,460))))*AS350*J350/1000</f>
        <v>1445.8839218895612</v>
      </c>
      <c r="AU350" s="199">
        <f t="shared" si="48"/>
        <v>1979.5522000309877</v>
      </c>
      <c r="AV350" s="141">
        <f>3.1416*1.13*head!$G$66/(1.4*head!$G$67)*((1+3.1416^2*AU350^2/(1.4*head!$G$67*1000)^2*(0.45^2+1))^0.5+3.1416*0.45*database!AU350/(1.4*head!$G$67*1000))</f>
        <v>46.05316763705418</v>
      </c>
      <c r="AW350" s="141">
        <f>AV350/(head!$G$66*1000)*(210000*database!P350*81000*database!T350)^0.5</f>
        <v>7690651255.7186785</v>
      </c>
      <c r="AX350" s="183">
        <f>IF(head!$F$82="S235",database!AF350,(IF(head!$F$82="S275",database!AG350,IF(head!$F$82="S355",database!AH350,IF(head!$F$82="S420",database!AI350,database!AJ350)))))</f>
        <v>1</v>
      </c>
      <c r="AY350" s="141">
        <f t="shared" si="45"/>
        <v>2561799.0643744231</v>
      </c>
      <c r="AZ350" s="202">
        <f>(AY350*VLOOKUP(head!$F$82,head!$L$1:$M$5,2)/AW350)^0.5</f>
        <v>0.34387859911418267</v>
      </c>
      <c r="BA350" s="144" t="str">
        <f t="shared" si="38"/>
        <v>HEA 450</v>
      </c>
    </row>
    <row r="351" spans="1:53">
      <c r="A351" s="175" t="s">
        <v>227</v>
      </c>
      <c r="B351" s="129">
        <f t="shared" si="39"/>
        <v>1600.9226775638047</v>
      </c>
      <c r="C351" s="176">
        <v>440</v>
      </c>
      <c r="D351" s="176">
        <v>300</v>
      </c>
      <c r="E351" s="177">
        <v>11.5</v>
      </c>
      <c r="F351" s="176">
        <v>21</v>
      </c>
      <c r="G351" s="176">
        <v>27</v>
      </c>
      <c r="H351" s="178">
        <v>139.75181480093437</v>
      </c>
      <c r="I351" s="179">
        <v>142.42223164426434</v>
      </c>
      <c r="J351" s="179">
        <v>17802.778955533042</v>
      </c>
      <c r="K351" s="179">
        <v>2.0106460032938491</v>
      </c>
      <c r="L351" s="180">
        <v>637216333.50180197</v>
      </c>
      <c r="M351" s="179">
        <v>2896437.8795536454</v>
      </c>
      <c r="N351" s="179">
        <v>3215867.4803516828</v>
      </c>
      <c r="O351" s="181">
        <v>189.19059798560968</v>
      </c>
      <c r="P351" s="179">
        <v>94653333.609806463</v>
      </c>
      <c r="Q351" s="179">
        <v>631022.22406537645</v>
      </c>
      <c r="R351" s="179">
        <v>965531.1357937071</v>
      </c>
      <c r="S351" s="179">
        <v>72.916204998335516</v>
      </c>
      <c r="T351" s="180">
        <v>2491793.5981023801</v>
      </c>
      <c r="U351" s="182">
        <v>4087093917972.0601</v>
      </c>
      <c r="V351" s="138">
        <v>1</v>
      </c>
      <c r="W351" s="138">
        <v>1</v>
      </c>
      <c r="X351" s="138">
        <v>2</v>
      </c>
      <c r="Y351" s="138">
        <v>3</v>
      </c>
      <c r="Z351" s="138">
        <v>3</v>
      </c>
      <c r="AA351" s="139">
        <v>2</v>
      </c>
      <c r="AB351" s="138">
        <v>3</v>
      </c>
      <c r="AC351" s="138">
        <v>4</v>
      </c>
      <c r="AD351" s="138">
        <v>4</v>
      </c>
      <c r="AE351" s="138">
        <v>4</v>
      </c>
      <c r="AF351" s="137">
        <v>1</v>
      </c>
      <c r="AG351" s="138">
        <v>1</v>
      </c>
      <c r="AH351" s="138">
        <v>1</v>
      </c>
      <c r="AI351" s="138">
        <v>1</v>
      </c>
      <c r="AJ351" s="138">
        <v>1</v>
      </c>
      <c r="AK351" s="172">
        <f t="shared" si="40"/>
        <v>112.94000831645148</v>
      </c>
      <c r="AL351" s="184">
        <f t="shared" si="41"/>
        <v>96.088706575901526</v>
      </c>
      <c r="AM351" s="185">
        <f t="shared" si="46"/>
        <v>83.133088586713086</v>
      </c>
      <c r="AN351" s="186">
        <f t="shared" si="47"/>
        <v>66.281786846163143</v>
      </c>
      <c r="AO351" s="138" t="str">
        <f>IF(head!$F$82="S460","a0","b")</f>
        <v>b</v>
      </c>
      <c r="AP351" s="138">
        <f t="shared" si="42"/>
        <v>0.34</v>
      </c>
      <c r="AQ351" s="140">
        <f>IF(head!F$82="S235",235,IF(head!F$82="S275",275,IF(head!F$82="S355",355,IF(head!F$82="S420",420,460))))^0.5*head!$G$70*1000/(S351*3.1416*210000^0.5)</f>
        <v>1.7948558862119863</v>
      </c>
      <c r="AR351" s="140">
        <f t="shared" si="43"/>
        <v>2.3818793267909451</v>
      </c>
      <c r="AS351" s="140">
        <f t="shared" si="44"/>
        <v>0.25331109016823317</v>
      </c>
      <c r="AT351" s="141">
        <f>IF(head!F$82="S235",235,IF(head!F$82="S275",275,IF(head!F$82="S355",355,IF(head!F$82="S420",420,460))))*AS351*J351/1000</f>
        <v>1600.9226775638047</v>
      </c>
      <c r="AU351" s="199">
        <f t="shared" si="48"/>
        <v>2062.1412695362778</v>
      </c>
      <c r="AV351" s="141">
        <f>3.1416*1.13*head!$G$66/(1.4*head!$G$67)*((1+3.1416^2*AU351^2/(1.4*head!$G$67*1000)^2*(0.45^2+1))^0.5+3.1416*0.45*database!AU351/(1.4*head!$G$67*1000))</f>
        <v>47.777111013801751</v>
      </c>
      <c r="AW351" s="141">
        <f>AV351/(head!$G$66*1000)*(210000*database!P351*81000*database!T351)^0.5</f>
        <v>9569649510.3504448</v>
      </c>
      <c r="AX351" s="183">
        <f>IF(head!$F$82="S235",database!AF351,(IF(head!$F$82="S275",database!AG351,IF(head!$F$82="S355",database!AH351,IF(head!$F$82="S420",database!AI351,database!AJ351)))))</f>
        <v>1</v>
      </c>
      <c r="AY351" s="141">
        <f t="shared" si="45"/>
        <v>3215867.4803516828</v>
      </c>
      <c r="AZ351" s="202">
        <f>(AY351*VLOOKUP(head!$F$82,head!$L$1:$M$5,2)/AW351)^0.5</f>
        <v>0.34539435277955643</v>
      </c>
      <c r="BA351" s="144" t="str">
        <f t="shared" si="38"/>
        <v>HEA 500</v>
      </c>
    </row>
    <row r="352" spans="1:53">
      <c r="A352" s="175" t="s">
        <v>228</v>
      </c>
      <c r="B352" s="129">
        <f t="shared" si="39"/>
        <v>1756.4828631426933</v>
      </c>
      <c r="C352" s="176">
        <v>490</v>
      </c>
      <c r="D352" s="176">
        <v>300</v>
      </c>
      <c r="E352" s="177">
        <v>12</v>
      </c>
      <c r="F352" s="176">
        <v>23</v>
      </c>
      <c r="G352" s="176">
        <v>27</v>
      </c>
      <c r="H352" s="178">
        <v>155.06716480093436</v>
      </c>
      <c r="I352" s="179">
        <v>158.03023164426435</v>
      </c>
      <c r="J352" s="179">
        <v>19753.778955533042</v>
      </c>
      <c r="K352" s="179">
        <v>2.1096460032938489</v>
      </c>
      <c r="L352" s="180">
        <v>869747803.99878979</v>
      </c>
      <c r="M352" s="179">
        <v>3549991.0367297544</v>
      </c>
      <c r="N352" s="179">
        <v>3948856.8963289429</v>
      </c>
      <c r="O352" s="181">
        <v>209.83193017715715</v>
      </c>
      <c r="P352" s="179">
        <v>103670552.49722138</v>
      </c>
      <c r="Q352" s="179">
        <v>691137.01664814248</v>
      </c>
      <c r="R352" s="179">
        <v>1058512.7055325904</v>
      </c>
      <c r="S352" s="179">
        <v>72.444031655046075</v>
      </c>
      <c r="T352" s="180">
        <v>3177384.2971851998</v>
      </c>
      <c r="U352" s="182">
        <v>5569125928531.21</v>
      </c>
      <c r="V352" s="138">
        <v>1</v>
      </c>
      <c r="W352" s="138">
        <v>2</v>
      </c>
      <c r="X352" s="138">
        <v>3</v>
      </c>
      <c r="Y352" s="138">
        <v>4</v>
      </c>
      <c r="Z352" s="138">
        <v>4</v>
      </c>
      <c r="AA352" s="139">
        <v>3</v>
      </c>
      <c r="AB352" s="138">
        <v>3</v>
      </c>
      <c r="AC352" s="138">
        <v>4</v>
      </c>
      <c r="AD352" s="138">
        <v>4</v>
      </c>
      <c r="AE352" s="138">
        <v>4</v>
      </c>
      <c r="AF352" s="137">
        <v>1</v>
      </c>
      <c r="AG352" s="138">
        <v>1</v>
      </c>
      <c r="AH352" s="138">
        <v>1</v>
      </c>
      <c r="AI352" s="138">
        <v>1</v>
      </c>
      <c r="AJ352" s="138">
        <v>1</v>
      </c>
      <c r="AK352" s="172">
        <f t="shared" si="40"/>
        <v>106.79708465113386</v>
      </c>
      <c r="AL352" s="184">
        <f t="shared" si="41"/>
        <v>91.610117100503757</v>
      </c>
      <c r="AM352" s="185">
        <f t="shared" si="46"/>
        <v>79.984695766651853</v>
      </c>
      <c r="AN352" s="186">
        <f t="shared" si="47"/>
        <v>64.797728216021738</v>
      </c>
      <c r="AO352" s="138" t="str">
        <f>IF(head!$F$82="S460","a0","b")</f>
        <v>b</v>
      </c>
      <c r="AP352" s="138">
        <f t="shared" si="42"/>
        <v>0.34</v>
      </c>
      <c r="AQ352" s="140">
        <f>IF(head!F$82="S235",235,IF(head!F$82="S275",275,IF(head!F$82="S355",355,IF(head!F$82="S420",420,460))))^0.5*head!$G$70*1000/(S352*3.1416*210000^0.5)</f>
        <v>1.806554339281949</v>
      </c>
      <c r="AR352" s="140">
        <f t="shared" si="43"/>
        <v>2.4049335280671511</v>
      </c>
      <c r="AS352" s="140">
        <f t="shared" si="44"/>
        <v>0.25047557038296647</v>
      </c>
      <c r="AT352" s="141">
        <f>IF(head!F$82="S235",235,IF(head!F$82="S275",275,IF(head!F$82="S355",355,IF(head!F$82="S420",420,460))))*AS352*J352/1000</f>
        <v>1756.4828631426933</v>
      </c>
      <c r="AU352" s="199">
        <f t="shared" si="48"/>
        <v>2131.6985244778625</v>
      </c>
      <c r="AV352" s="141">
        <f>3.1416*1.13*head!$G$66/(1.4*head!$G$67)*((1+3.1416^2*AU352^2/(1.4*head!$G$67*1000)^2*(0.45^2+1))^0.5+3.1416*0.45*database!AU352/(1.4*head!$G$67*1000))</f>
        <v>49.234071162061397</v>
      </c>
      <c r="AW352" s="141">
        <f>AV352/(head!$G$66*1000)*(210000*database!P352*81000*database!T352)^0.5</f>
        <v>11654146813.379181</v>
      </c>
      <c r="AX352" s="183">
        <f>IF(head!$F$82="S235",database!AF352,(IF(head!$F$82="S275",database!AG352,IF(head!$F$82="S355",database!AH352,IF(head!$F$82="S420",database!AI352,database!AJ352)))))</f>
        <v>1</v>
      </c>
      <c r="AY352" s="141">
        <f t="shared" si="45"/>
        <v>3948856.8963289429</v>
      </c>
      <c r="AZ352" s="202">
        <f>(AY352*VLOOKUP(head!$F$82,head!$L$1:$M$5,2)/AW352)^0.5</f>
        <v>0.34682439061119807</v>
      </c>
      <c r="BA352" s="144" t="str">
        <f t="shared" si="38"/>
        <v>HEA 550</v>
      </c>
    </row>
    <row r="353" spans="1:53">
      <c r="A353" s="175" t="s">
        <v>229</v>
      </c>
      <c r="B353" s="129">
        <f t="shared" si="39"/>
        <v>1839.5265341737477</v>
      </c>
      <c r="C353" s="176">
        <v>540</v>
      </c>
      <c r="D353" s="176">
        <v>300</v>
      </c>
      <c r="E353" s="177">
        <v>12.5</v>
      </c>
      <c r="F353" s="176">
        <v>24</v>
      </c>
      <c r="G353" s="176">
        <v>27</v>
      </c>
      <c r="H353" s="178">
        <v>166.22986480093437</v>
      </c>
      <c r="I353" s="179">
        <v>169.40623164426435</v>
      </c>
      <c r="J353" s="179">
        <v>21175.778955533042</v>
      </c>
      <c r="K353" s="179">
        <v>2.2086460032938491</v>
      </c>
      <c r="L353" s="180">
        <v>1119322215.7009661</v>
      </c>
      <c r="M353" s="179">
        <v>4145637.8359295041</v>
      </c>
      <c r="N353" s="179">
        <v>4621817.5912617361</v>
      </c>
      <c r="O353" s="181">
        <v>229.91000150746095</v>
      </c>
      <c r="P353" s="179">
        <v>108190498.08617242</v>
      </c>
      <c r="Q353" s="179">
        <v>721269.9872411493</v>
      </c>
      <c r="R353" s="179">
        <v>1106903.9002714737</v>
      </c>
      <c r="S353" s="179">
        <v>71.478406602428493</v>
      </c>
      <c r="T353" s="180">
        <v>3606733.48785502</v>
      </c>
      <c r="U353" s="182">
        <v>7102962710866.6904</v>
      </c>
      <c r="V353" s="138">
        <v>2</v>
      </c>
      <c r="W353" s="138">
        <v>2</v>
      </c>
      <c r="X353" s="138">
        <v>4</v>
      </c>
      <c r="Y353" s="138">
        <v>4</v>
      </c>
      <c r="Z353" s="138">
        <v>4</v>
      </c>
      <c r="AA353" s="139">
        <v>3</v>
      </c>
      <c r="AB353" s="138">
        <v>4</v>
      </c>
      <c r="AC353" s="138">
        <v>4</v>
      </c>
      <c r="AD353" s="138">
        <v>4</v>
      </c>
      <c r="AE353" s="138">
        <v>4</v>
      </c>
      <c r="AF353" s="137">
        <v>1</v>
      </c>
      <c r="AG353" s="138">
        <v>1</v>
      </c>
      <c r="AH353" s="138">
        <v>1</v>
      </c>
      <c r="AI353" s="138">
        <v>1</v>
      </c>
      <c r="AJ353" s="138">
        <v>1</v>
      </c>
      <c r="AK353" s="172">
        <f t="shared" si="40"/>
        <v>104.30057887985035</v>
      </c>
      <c r="AL353" s="184">
        <f t="shared" si="41"/>
        <v>90.133449508601743</v>
      </c>
      <c r="AM353" s="185">
        <f t="shared" si="46"/>
        <v>79.335924478992112</v>
      </c>
      <c r="AN353" s="186">
        <f t="shared" si="47"/>
        <v>65.16879510774352</v>
      </c>
      <c r="AO353" s="138" t="str">
        <f>IF(head!$F$82="S460","a0","b")</f>
        <v>b</v>
      </c>
      <c r="AP353" s="138">
        <f t="shared" si="42"/>
        <v>0.34</v>
      </c>
      <c r="AQ353" s="140">
        <f>IF(head!F$82="S235",235,IF(head!F$82="S275",275,IF(head!F$82="S355",355,IF(head!F$82="S420",420,460))))^0.5*head!$G$70*1000/(S353*3.1416*210000^0.5)</f>
        <v>1.8309596696725454</v>
      </c>
      <c r="AR353" s="140">
        <f t="shared" si="43"/>
        <v>2.453469799828031</v>
      </c>
      <c r="AS353" s="140">
        <f t="shared" si="44"/>
        <v>0.24470244499046037</v>
      </c>
      <c r="AT353" s="141">
        <f>IF(head!F$82="S235",235,IF(head!F$82="S275",275,IF(head!F$82="S355",355,IF(head!F$82="S420",420,460))))*AS353*J353/1000</f>
        <v>1839.5265341737477</v>
      </c>
      <c r="AU353" s="199">
        <f t="shared" si="48"/>
        <v>2259.5912233084196</v>
      </c>
      <c r="AV353" s="141">
        <f>3.1416*1.13*head!$G$66/(1.4*head!$G$67)*((1+3.1416^2*AU353^2/(1.4*head!$G$67*1000)^2*(0.45^2+1))^0.5+3.1416*0.45*database!AU353/(1.4*head!$G$67*1000))</f>
        <v>51.923653875510496</v>
      </c>
      <c r="AW353" s="141">
        <f>AV353/(head!$G$66*1000)*(210000*database!P353*81000*database!T353)^0.5</f>
        <v>13377316096.031359</v>
      </c>
      <c r="AX353" s="183">
        <f>IF(head!$F$82="S235",database!AF353,(IF(head!$F$82="S275",database!AG353,IF(head!$F$82="S355",database!AH353,IF(head!$F$82="S420",database!AI353,database!AJ353)))))</f>
        <v>1</v>
      </c>
      <c r="AY353" s="141">
        <f t="shared" si="45"/>
        <v>4621817.5912617361</v>
      </c>
      <c r="AZ353" s="202">
        <f>(AY353*VLOOKUP(head!$F$82,head!$L$1:$M$5,2)/AW353)^0.5</f>
        <v>0.3502160799163479</v>
      </c>
      <c r="BA353" s="144" t="str">
        <f t="shared" si="38"/>
        <v>HEA 600</v>
      </c>
    </row>
    <row r="354" spans="1:53">
      <c r="A354" s="175" t="s">
        <v>230</v>
      </c>
      <c r="B354" s="129">
        <f t="shared" si="39"/>
        <v>1922.8478513545065</v>
      </c>
      <c r="C354" s="176">
        <v>590</v>
      </c>
      <c r="D354" s="176">
        <v>300</v>
      </c>
      <c r="E354" s="177">
        <v>13</v>
      </c>
      <c r="F354" s="176">
        <v>25</v>
      </c>
      <c r="G354" s="176">
        <v>27</v>
      </c>
      <c r="H354" s="178">
        <v>177.76936480093437</v>
      </c>
      <c r="I354" s="179">
        <v>181.16623164426434</v>
      </c>
      <c r="J354" s="179">
        <v>22645.778955533042</v>
      </c>
      <c r="K354" s="179">
        <v>2.3076460032938488</v>
      </c>
      <c r="L354" s="180">
        <v>1412081108.7599163</v>
      </c>
      <c r="M354" s="179">
        <v>4786715.6229149709</v>
      </c>
      <c r="N354" s="179">
        <v>5350386.2861945294</v>
      </c>
      <c r="O354" s="181">
        <v>249.71014655288005</v>
      </c>
      <c r="P354" s="179">
        <v>112713166.64749286</v>
      </c>
      <c r="Q354" s="179">
        <v>751421.1109832857</v>
      </c>
      <c r="R354" s="179">
        <v>1155656.5950103567</v>
      </c>
      <c r="S354" s="179">
        <v>70.549459969814706</v>
      </c>
      <c r="T354" s="180">
        <v>4075886.0673159198</v>
      </c>
      <c r="U354" s="182">
        <v>8879460111642.8008</v>
      </c>
      <c r="V354" s="138">
        <v>2</v>
      </c>
      <c r="W354" s="138">
        <v>3</v>
      </c>
      <c r="X354" s="138">
        <v>4</v>
      </c>
      <c r="Y354" s="138">
        <v>4</v>
      </c>
      <c r="Z354" s="138">
        <v>4</v>
      </c>
      <c r="AA354" s="139">
        <v>4</v>
      </c>
      <c r="AB354" s="138">
        <v>4</v>
      </c>
      <c r="AC354" s="138">
        <v>4</v>
      </c>
      <c r="AD354" s="138">
        <v>4</v>
      </c>
      <c r="AE354" s="138">
        <v>4</v>
      </c>
      <c r="AF354" s="137">
        <v>1</v>
      </c>
      <c r="AG354" s="138">
        <v>1</v>
      </c>
      <c r="AH354" s="138">
        <v>1</v>
      </c>
      <c r="AI354" s="138">
        <v>1</v>
      </c>
      <c r="AJ354" s="138">
        <v>1</v>
      </c>
      <c r="AK354" s="172">
        <f t="shared" si="40"/>
        <v>101.90181613205324</v>
      </c>
      <c r="AL354" s="184">
        <f t="shared" si="41"/>
        <v>88.654314220589924</v>
      </c>
      <c r="AM354" s="185">
        <f t="shared" si="46"/>
        <v>78.601844674682411</v>
      </c>
      <c r="AN354" s="186">
        <f t="shared" si="47"/>
        <v>65.354342763219094</v>
      </c>
      <c r="AO354" s="138" t="str">
        <f>IF(head!$F$82="S460","a0","b")</f>
        <v>b</v>
      </c>
      <c r="AP354" s="138">
        <f t="shared" si="42"/>
        <v>0.34</v>
      </c>
      <c r="AQ354" s="140">
        <f>IF(head!F$82="S235",235,IF(head!F$82="S275",275,IF(head!F$82="S355",355,IF(head!F$82="S420",420,460))))^0.5*head!$G$70*1000/(S354*3.1416*210000^0.5)</f>
        <v>1.8550684838338682</v>
      </c>
      <c r="AR354" s="140">
        <f t="shared" si="43"/>
        <v>2.502001182108601</v>
      </c>
      <c r="AS354" s="140">
        <f t="shared" si="44"/>
        <v>0.23918244681945522</v>
      </c>
      <c r="AT354" s="141">
        <f>IF(head!F$82="S235",235,IF(head!F$82="S275",275,IF(head!F$82="S355",355,IF(head!F$82="S420",420,460))))*AS354*J354/1000</f>
        <v>1922.8478513545065</v>
      </c>
      <c r="AU354" s="199">
        <f t="shared" si="48"/>
        <v>2376.5633772641322</v>
      </c>
      <c r="AV354" s="141">
        <f>3.1416*1.13*head!$G$66/(1.4*head!$G$67)*((1+3.1416^2*AU354^2/(1.4*head!$G$67*1000)^2*(0.45^2+1))^0.5+3.1416*0.45*database!AU354/(1.4*head!$G$67*1000))</f>
        <v>54.394305046808888</v>
      </c>
      <c r="AW354" s="141">
        <f>AV354/(head!$G$66*1000)*(210000*database!P354*81000*database!T354)^0.5</f>
        <v>15205612993.902271</v>
      </c>
      <c r="AX354" s="183">
        <f>IF(head!$F$82="S235",database!AF354,(IF(head!$F$82="S275",database!AG354,IF(head!$F$82="S355",database!AH354,IF(head!$F$82="S420",database!AI354,database!AJ354)))))</f>
        <v>1</v>
      </c>
      <c r="AY354" s="141">
        <f t="shared" si="45"/>
        <v>5350386.2861945294</v>
      </c>
      <c r="AZ354" s="202">
        <f>(AY354*VLOOKUP(head!$F$82,head!$L$1:$M$5,2)/AW354)^0.5</f>
        <v>0.35343111371842667</v>
      </c>
      <c r="BA354" s="144" t="str">
        <f t="shared" si="38"/>
        <v>HEA 650</v>
      </c>
    </row>
    <row r="355" spans="1:53">
      <c r="A355" s="175" t="s">
        <v>231</v>
      </c>
      <c r="B355" s="129">
        <f t="shared" si="39"/>
        <v>2006.4362380338246</v>
      </c>
      <c r="C355" s="176">
        <v>640</v>
      </c>
      <c r="D355" s="176">
        <v>300</v>
      </c>
      <c r="E355" s="177">
        <v>13.5</v>
      </c>
      <c r="F355" s="176">
        <v>26</v>
      </c>
      <c r="G355" s="176">
        <v>27</v>
      </c>
      <c r="H355" s="178">
        <v>189.68566480093438</v>
      </c>
      <c r="I355" s="179">
        <v>193.31023164426435</v>
      </c>
      <c r="J355" s="179">
        <v>24163.778955533042</v>
      </c>
      <c r="K355" s="179">
        <v>2.406646003293849</v>
      </c>
      <c r="L355" s="180">
        <v>1751782355.1756408</v>
      </c>
      <c r="M355" s="179">
        <v>5474319.8599238778</v>
      </c>
      <c r="N355" s="179">
        <v>6136290.9811273217</v>
      </c>
      <c r="O355" s="181">
        <v>269.25119946203426</v>
      </c>
      <c r="P355" s="179">
        <v>117238819.93118276</v>
      </c>
      <c r="Q355" s="179">
        <v>781592.13287455169</v>
      </c>
      <c r="R355" s="179">
        <v>1204788.78974924</v>
      </c>
      <c r="S355" s="179">
        <v>69.655159666469075</v>
      </c>
      <c r="T355" s="180">
        <v>4586962.4859096296</v>
      </c>
      <c r="U355" s="182">
        <v>10914853851174.199</v>
      </c>
      <c r="V355" s="138">
        <v>3</v>
      </c>
      <c r="W355" s="138">
        <v>4</v>
      </c>
      <c r="X355" s="138">
        <v>4</v>
      </c>
      <c r="Y355" s="138">
        <v>4</v>
      </c>
      <c r="Z355" s="138">
        <v>4</v>
      </c>
      <c r="AA355" s="139">
        <v>4</v>
      </c>
      <c r="AB355" s="138">
        <v>4</v>
      </c>
      <c r="AC355" s="138">
        <v>4</v>
      </c>
      <c r="AD355" s="138">
        <v>4</v>
      </c>
      <c r="AE355" s="138">
        <v>4</v>
      </c>
      <c r="AF355" s="137">
        <v>1</v>
      </c>
      <c r="AG355" s="138">
        <v>1</v>
      </c>
      <c r="AH355" s="138">
        <v>1</v>
      </c>
      <c r="AI355" s="138">
        <v>1</v>
      </c>
      <c r="AJ355" s="138">
        <v>1</v>
      </c>
      <c r="AK355" s="172">
        <f t="shared" si="40"/>
        <v>99.597252885098627</v>
      </c>
      <c r="AL355" s="184">
        <f t="shared" si="41"/>
        <v>87.181976261683502</v>
      </c>
      <c r="AM355" s="185">
        <f t="shared" si="46"/>
        <v>77.802400173401523</v>
      </c>
      <c r="AN355" s="186">
        <f t="shared" si="47"/>
        <v>65.387123549986384</v>
      </c>
      <c r="AO355" s="138" t="str">
        <f>IF(head!$F$82="S460","a0","b")</f>
        <v>b</v>
      </c>
      <c r="AP355" s="138">
        <f t="shared" si="42"/>
        <v>0.34</v>
      </c>
      <c r="AQ355" s="140">
        <f>IF(head!F$82="S235",235,IF(head!F$82="S275",275,IF(head!F$82="S355",355,IF(head!F$82="S420",420,460))))^0.5*head!$G$70*1000/(S355*3.1416*210000^0.5)</f>
        <v>1.8788856470671926</v>
      </c>
      <c r="AR355" s="140">
        <f t="shared" si="43"/>
        <v>2.5505161973789745</v>
      </c>
      <c r="AS355" s="140">
        <f t="shared" si="44"/>
        <v>0.23390104152520516</v>
      </c>
      <c r="AT355" s="141">
        <f>IF(head!F$82="S235",235,IF(head!F$82="S275",275,IF(head!F$82="S355",355,IF(head!F$82="S420",420,460))))*AS355*J355/1000</f>
        <v>2006.4362380338246</v>
      </c>
      <c r="AU355" s="199">
        <f t="shared" si="48"/>
        <v>2483.7821762393273</v>
      </c>
      <c r="AV355" s="141">
        <f>3.1416*1.13*head!$G$66/(1.4*head!$G$67)*((1+3.1416^2*AU355^2/(1.4*head!$G$67*1000)^2*(0.45^2+1))^0.5+3.1416*0.45*database!AU355/(1.4*head!$G$67*1000))</f>
        <v>56.666807307846945</v>
      </c>
      <c r="AW355" s="141">
        <f>AV355/(head!$G$66*1000)*(210000*database!P355*81000*database!T355)^0.5</f>
        <v>17138752795.649019</v>
      </c>
      <c r="AX355" s="183">
        <f>IF(head!$F$82="S235",database!AF355,(IF(head!$F$82="S275",database!AG355,IF(head!$F$82="S355",database!AH355,IF(head!$F$82="S420",database!AI355,database!AJ355)))))</f>
        <v>1</v>
      </c>
      <c r="AY355" s="141">
        <f t="shared" si="45"/>
        <v>6136290.9811273217</v>
      </c>
      <c r="AZ355" s="202">
        <f>(AY355*VLOOKUP(head!$F$82,head!$L$1:$M$5,2)/AW355)^0.5</f>
        <v>0.35651478237201462</v>
      </c>
      <c r="BA355" s="144" t="str">
        <f t="shared" si="38"/>
        <v>HEA 700</v>
      </c>
    </row>
    <row r="356" spans="1:53">
      <c r="A356" s="175" t="s">
        <v>232</v>
      </c>
      <c r="B356" s="129">
        <f t="shared" si="39"/>
        <v>2093.6716235163494</v>
      </c>
      <c r="C356" s="176">
        <v>690</v>
      </c>
      <c r="D356" s="176">
        <v>300</v>
      </c>
      <c r="E356" s="177">
        <v>14.5</v>
      </c>
      <c r="F356" s="176">
        <v>27</v>
      </c>
      <c r="G356" s="176">
        <v>27</v>
      </c>
      <c r="H356" s="178">
        <v>204.47506480093438</v>
      </c>
      <c r="I356" s="179">
        <v>208.38223164426435</v>
      </c>
      <c r="J356" s="179">
        <v>26047.778955533042</v>
      </c>
      <c r="K356" s="179">
        <v>2.5046460032938489</v>
      </c>
      <c r="L356" s="180">
        <v>2153013562.9481392</v>
      </c>
      <c r="M356" s="179">
        <v>6240619.0230380846</v>
      </c>
      <c r="N356" s="179">
        <v>7031821.676060115</v>
      </c>
      <c r="O356" s="181">
        <v>287.50012242749381</v>
      </c>
      <c r="P356" s="179">
        <v>121787993.16567087</v>
      </c>
      <c r="Q356" s="179">
        <v>811919.95443780581</v>
      </c>
      <c r="R356" s="179">
        <v>1256740.6792270066</v>
      </c>
      <c r="S356" s="179">
        <v>68.378077829573769</v>
      </c>
      <c r="T356" s="180">
        <v>5228965.8848557603</v>
      </c>
      <c r="U356" s="182">
        <v>13222994681546.9</v>
      </c>
      <c r="V356" s="138">
        <v>3</v>
      </c>
      <c r="W356" s="138">
        <v>4</v>
      </c>
      <c r="X356" s="138">
        <v>4</v>
      </c>
      <c r="Y356" s="138">
        <v>4</v>
      </c>
      <c r="Z356" s="138">
        <v>4</v>
      </c>
      <c r="AA356" s="139">
        <v>4</v>
      </c>
      <c r="AB356" s="138">
        <v>4</v>
      </c>
      <c r="AC356" s="138">
        <v>4</v>
      </c>
      <c r="AD356" s="138">
        <v>4</v>
      </c>
      <c r="AE356" s="138">
        <v>4</v>
      </c>
      <c r="AF356" s="137">
        <v>1</v>
      </c>
      <c r="AG356" s="138">
        <v>1</v>
      </c>
      <c r="AH356" s="138">
        <v>1</v>
      </c>
      <c r="AI356" s="138">
        <v>1</v>
      </c>
      <c r="AJ356" s="138">
        <v>1</v>
      </c>
      <c r="AK356" s="172">
        <f t="shared" si="40"/>
        <v>96.155837607866928</v>
      </c>
      <c r="AL356" s="184">
        <f t="shared" si="41"/>
        <v>84.638540854384061</v>
      </c>
      <c r="AM356" s="185">
        <f t="shared" si="46"/>
        <v>76.014158572986901</v>
      </c>
      <c r="AN356" s="186">
        <f t="shared" si="47"/>
        <v>64.496861819504048</v>
      </c>
      <c r="AO356" s="138" t="str">
        <f>IF(head!$F$82="S460","a0","b")</f>
        <v>b</v>
      </c>
      <c r="AP356" s="138">
        <f t="shared" si="42"/>
        <v>0.34</v>
      </c>
      <c r="AQ356" s="140">
        <f>IF(head!F$82="S235",235,IF(head!F$82="S275",275,IF(head!F$82="S355",355,IF(head!F$82="S420",420,460))))^0.5*head!$G$70*1000/(S356*3.1416*210000^0.5)</f>
        <v>1.9139771677655852</v>
      </c>
      <c r="AR356" s="140">
        <f t="shared" si="43"/>
        <v>2.6230304178841353</v>
      </c>
      <c r="AS356" s="140">
        <f t="shared" si="44"/>
        <v>0.22641725251064834</v>
      </c>
      <c r="AT356" s="141">
        <f>IF(head!F$82="S235",235,IF(head!F$82="S275",275,IF(head!F$82="S355",355,IF(head!F$82="S420",420,460))))*AS356*J356/1000</f>
        <v>2093.6716235163494</v>
      </c>
      <c r="AU356" s="199">
        <f t="shared" si="48"/>
        <v>2560.4962573215366</v>
      </c>
      <c r="AV356" s="141">
        <f>3.1416*1.13*head!$G$66/(1.4*head!$G$67)*((1+3.1416^2*AU356^2/(1.4*head!$G$67*1000)^2*(0.45^2+1))^0.5+3.1416*0.45*database!AU356/(1.4*head!$G$67*1000))</f>
        <v>58.296885380116585</v>
      </c>
      <c r="AW356" s="141">
        <f>AV356/(head!$G$66*1000)*(210000*database!P356*81000*database!T356)^0.5</f>
        <v>19187025399.997986</v>
      </c>
      <c r="AX356" s="183">
        <f>IF(head!$F$82="S235",database!AF356,(IF(head!$F$82="S275",database!AG356,IF(head!$F$82="S355",database!AH356,IF(head!$F$82="S420",database!AI356,database!AJ356)))))</f>
        <v>1</v>
      </c>
      <c r="AY356" s="141">
        <f t="shared" si="45"/>
        <v>7031821.676060115</v>
      </c>
      <c r="AZ356" s="202">
        <f>(AY356*VLOOKUP(head!$F$82,head!$L$1:$M$5,2)/AW356)^0.5</f>
        <v>0.3606984496407642</v>
      </c>
      <c r="BA356" s="144" t="str">
        <f t="shared" si="38"/>
        <v>HEA 800</v>
      </c>
    </row>
    <row r="357" spans="1:53">
      <c r="A357" s="175" t="s">
        <v>233</v>
      </c>
      <c r="B357" s="129">
        <f t="shared" si="39"/>
        <v>2186.8798884111029</v>
      </c>
      <c r="C357" s="176">
        <v>790</v>
      </c>
      <c r="D357" s="176">
        <v>300</v>
      </c>
      <c r="E357" s="177">
        <v>15</v>
      </c>
      <c r="F357" s="176">
        <v>28</v>
      </c>
      <c r="G357" s="176">
        <v>30</v>
      </c>
      <c r="H357" s="178">
        <v>224.37314790238813</v>
      </c>
      <c r="I357" s="179">
        <v>228.6605328941535</v>
      </c>
      <c r="J357" s="179">
        <v>28582.566611769187</v>
      </c>
      <c r="K357" s="179">
        <v>2.6984955592153872</v>
      </c>
      <c r="L357" s="180">
        <v>3034426475.0196629</v>
      </c>
      <c r="M357" s="179">
        <v>7682092.3418219313</v>
      </c>
      <c r="N357" s="179">
        <v>8699489.9481662158</v>
      </c>
      <c r="O357" s="181">
        <v>325.8274708226823</v>
      </c>
      <c r="P357" s="179">
        <v>126386686.78544849</v>
      </c>
      <c r="Q357" s="179">
        <v>842577.91190298996</v>
      </c>
      <c r="R357" s="179">
        <v>1312258.7479413445</v>
      </c>
      <c r="S357" s="179">
        <v>66.496693729441802</v>
      </c>
      <c r="T357" s="180">
        <v>6097143.08349868</v>
      </c>
      <c r="U357" s="182">
        <v>18112979965893.801</v>
      </c>
      <c r="V357" s="138">
        <v>4</v>
      </c>
      <c r="W357" s="138">
        <v>4</v>
      </c>
      <c r="X357" s="138">
        <v>4</v>
      </c>
      <c r="Y357" s="138">
        <v>4</v>
      </c>
      <c r="Z357" s="138">
        <v>4</v>
      </c>
      <c r="AA357" s="139">
        <v>4</v>
      </c>
      <c r="AB357" s="138">
        <v>4</v>
      </c>
      <c r="AC357" s="138">
        <v>4</v>
      </c>
      <c r="AD357" s="138">
        <v>4</v>
      </c>
      <c r="AE357" s="138">
        <v>4</v>
      </c>
      <c r="AF357" s="137">
        <v>1</v>
      </c>
      <c r="AG357" s="138">
        <v>1</v>
      </c>
      <c r="AH357" s="138">
        <v>1</v>
      </c>
      <c r="AI357" s="138">
        <v>1</v>
      </c>
      <c r="AJ357" s="138">
        <v>1</v>
      </c>
      <c r="AK357" s="172">
        <f t="shared" si="40"/>
        <v>94.410540378282604</v>
      </c>
      <c r="AL357" s="184">
        <f t="shared" si="41"/>
        <v>83.914632013060029</v>
      </c>
      <c r="AM357" s="185">
        <f t="shared" si="46"/>
        <v>76.270267453950794</v>
      </c>
      <c r="AN357" s="186">
        <f t="shared" si="47"/>
        <v>65.774359088728204</v>
      </c>
      <c r="AO357" s="138" t="str">
        <f>IF(head!$F$82="S460","a0","b")</f>
        <v>b</v>
      </c>
      <c r="AP357" s="138">
        <f t="shared" si="42"/>
        <v>0.34</v>
      </c>
      <c r="AQ357" s="140">
        <f>IF(head!F$82="S235",235,IF(head!F$82="S275",275,IF(head!F$82="S355",355,IF(head!F$82="S420",420,460))))^0.5*head!$G$70*1000/(S357*3.1416*210000^0.5)</f>
        <v>1.9681291264494416</v>
      </c>
      <c r="AR357" s="140">
        <f t="shared" si="43"/>
        <v>2.737348080685726</v>
      </c>
      <c r="AS357" s="140">
        <f t="shared" si="44"/>
        <v>0.21552385835221716</v>
      </c>
      <c r="AT357" s="141">
        <f>IF(head!F$82="S235",235,IF(head!F$82="S275",275,IF(head!F$82="S355",355,IF(head!F$82="S420",420,460))))*AS357*J357/1000</f>
        <v>2186.8798884111029</v>
      </c>
      <c r="AU357" s="199">
        <f t="shared" si="48"/>
        <v>2775.2294653470008</v>
      </c>
      <c r="AV357" s="141">
        <f>3.1416*1.13*head!$G$66/(1.4*head!$G$67)*((1+3.1416^2*AU357^2/(1.4*head!$G$67*1000)^2*(0.45^2+1))^0.5+3.1416*0.45*database!AU357/(1.4*head!$G$67*1000))</f>
        <v>62.875582733027727</v>
      </c>
      <c r="AW357" s="141">
        <f>AV357/(head!$G$66*1000)*(210000*database!P357*81000*database!T357)^0.5</f>
        <v>22763971744.810036</v>
      </c>
      <c r="AX357" s="183">
        <f>IF(head!$F$82="S235",database!AF357,(IF(head!$F$82="S275",database!AG357,IF(head!$F$82="S355",database!AH357,IF(head!$F$82="S420",database!AI357,database!AJ357)))))</f>
        <v>1</v>
      </c>
      <c r="AY357" s="141">
        <f t="shared" si="45"/>
        <v>8699489.9481662158</v>
      </c>
      <c r="AZ357" s="202">
        <f>(AY357*VLOOKUP(head!$F$82,head!$L$1:$M$5,2)/AW357)^0.5</f>
        <v>0.36832996598404083</v>
      </c>
      <c r="BA357" s="144" t="str">
        <f t="shared" si="38"/>
        <v>HEA 900</v>
      </c>
    </row>
    <row r="358" spans="1:53">
      <c r="A358" s="175" t="s">
        <v>234</v>
      </c>
      <c r="B358" s="129">
        <f t="shared" si="39"/>
        <v>2355.9311766937185</v>
      </c>
      <c r="C358" s="176">
        <v>890</v>
      </c>
      <c r="D358" s="176">
        <v>300</v>
      </c>
      <c r="E358" s="177">
        <v>16</v>
      </c>
      <c r="F358" s="176">
        <v>30</v>
      </c>
      <c r="G358" s="176">
        <v>30</v>
      </c>
      <c r="H358" s="178">
        <v>251.61264790238812</v>
      </c>
      <c r="I358" s="179">
        <v>256.4205328941535</v>
      </c>
      <c r="J358" s="179">
        <v>32052.566611769187</v>
      </c>
      <c r="K358" s="179">
        <v>2.8964955592153876</v>
      </c>
      <c r="L358" s="180">
        <v>4220750180.1838021</v>
      </c>
      <c r="M358" s="179">
        <v>9484831.8655815776</v>
      </c>
      <c r="N358" s="179">
        <v>10811038.145531137</v>
      </c>
      <c r="O358" s="181">
        <v>362.88032190735913</v>
      </c>
      <c r="P358" s="179">
        <v>135474720.34170943</v>
      </c>
      <c r="Q358" s="179">
        <v>903164.80227806291</v>
      </c>
      <c r="R358" s="179">
        <v>1414477.5312472291</v>
      </c>
      <c r="S358" s="179">
        <v>65.012628604712319</v>
      </c>
      <c r="T358" s="180">
        <v>7511140.9911836702</v>
      </c>
      <c r="U358" s="182">
        <v>24747928513799.199</v>
      </c>
      <c r="V358" s="138">
        <v>4</v>
      </c>
      <c r="W358" s="138">
        <v>4</v>
      </c>
      <c r="X358" s="138">
        <v>4</v>
      </c>
      <c r="Y358" s="138">
        <v>4</v>
      </c>
      <c r="Z358" s="138">
        <v>4</v>
      </c>
      <c r="AA358" s="139">
        <v>4</v>
      </c>
      <c r="AB358" s="138">
        <v>4</v>
      </c>
      <c r="AC358" s="138">
        <v>4</v>
      </c>
      <c r="AD358" s="138">
        <v>4</v>
      </c>
      <c r="AE358" s="138">
        <v>4</v>
      </c>
      <c r="AF358" s="137">
        <v>1</v>
      </c>
      <c r="AG358" s="138">
        <v>1</v>
      </c>
      <c r="AH358" s="138">
        <v>1</v>
      </c>
      <c r="AI358" s="138">
        <v>1</v>
      </c>
      <c r="AJ358" s="138">
        <v>1</v>
      </c>
      <c r="AK358" s="172">
        <f t="shared" si="40"/>
        <v>90.367039691350058</v>
      </c>
      <c r="AL358" s="184">
        <f t="shared" si="41"/>
        <v>81.007414809084153</v>
      </c>
      <c r="AM358" s="185">
        <f t="shared" si="46"/>
        <v>74.25302406597612</v>
      </c>
      <c r="AN358" s="186">
        <f t="shared" si="47"/>
        <v>64.893399183710216</v>
      </c>
      <c r="AO358" s="138" t="str">
        <f>IF(head!$F$82="S460","a0","b")</f>
        <v>b</v>
      </c>
      <c r="AP358" s="138">
        <f t="shared" si="42"/>
        <v>0.34</v>
      </c>
      <c r="AQ358" s="140">
        <f>IF(head!F$82="S235",235,IF(head!F$82="S275",275,IF(head!F$82="S355",355,IF(head!F$82="S420",420,460))))^0.5*head!$G$70*1000/(S358*3.1416*210000^0.5)</f>
        <v>2.0130562715320846</v>
      </c>
      <c r="AR358" s="140">
        <f t="shared" si="43"/>
        <v>2.8344173423377832</v>
      </c>
      <c r="AS358" s="140">
        <f t="shared" si="44"/>
        <v>0.20704818837829575</v>
      </c>
      <c r="AT358" s="141">
        <f>IF(head!F$82="S235",235,IF(head!F$82="S275",275,IF(head!F$82="S355",355,IF(head!F$82="S420",420,460))))*AS358*J358/1000</f>
        <v>2355.9311766937185</v>
      </c>
      <c r="AU358" s="199">
        <f t="shared" si="48"/>
        <v>2922.6957447855343</v>
      </c>
      <c r="AV358" s="141">
        <f>3.1416*1.13*head!$G$66/(1.4*head!$G$67)*((1+3.1416^2*AU358^2/(1.4*head!$G$67*1000)^2*(0.45^2+1))^0.5+3.1416*0.45*database!AU358/(1.4*head!$G$67*1000))</f>
        <v>66.031646223961204</v>
      </c>
      <c r="AW358" s="141">
        <f>AV358/(head!$G$66*1000)*(210000*database!P358*81000*database!T358)^0.5</f>
        <v>27471752819.314514</v>
      </c>
      <c r="AX358" s="183">
        <f>IF(head!$F$82="S235",database!AF358,(IF(head!$F$82="S275",database!AG358,IF(head!$F$82="S355",database!AH358,IF(head!$F$82="S420",database!AI358,database!AJ358)))))</f>
        <v>1</v>
      </c>
      <c r="AY358" s="141">
        <f t="shared" si="45"/>
        <v>10811038.145531137</v>
      </c>
      <c r="AZ358" s="202">
        <f>(AY358*VLOOKUP(head!$F$82,head!$L$1:$M$5,2)/AW358)^0.5</f>
        <v>0.37377021578479896</v>
      </c>
      <c r="BA358" s="144" t="str">
        <f t="shared" si="38"/>
        <v>HEA 1000</v>
      </c>
    </row>
    <row r="359" spans="1:53">
      <c r="A359" s="175" t="s">
        <v>235</v>
      </c>
      <c r="B359" s="129">
        <f t="shared" si="39"/>
        <v>2447.3403127809552</v>
      </c>
      <c r="C359" s="176">
        <v>990</v>
      </c>
      <c r="D359" s="176">
        <v>300</v>
      </c>
      <c r="E359" s="177">
        <v>16.5</v>
      </c>
      <c r="F359" s="176">
        <v>31</v>
      </c>
      <c r="G359" s="176">
        <v>30</v>
      </c>
      <c r="H359" s="178">
        <v>272.27384790238807</v>
      </c>
      <c r="I359" s="179">
        <v>277.47653289415348</v>
      </c>
      <c r="J359" s="179">
        <v>34684.566611769187</v>
      </c>
      <c r="K359" s="179">
        <v>3.0954955592153874</v>
      </c>
      <c r="L359" s="180">
        <v>5538462368.2140446</v>
      </c>
      <c r="M359" s="179">
        <v>11188812.865078878</v>
      </c>
      <c r="N359" s="179">
        <v>12824377.909507828</v>
      </c>
      <c r="O359" s="181">
        <v>399.60090989080913</v>
      </c>
      <c r="P359" s="179">
        <v>140044531.72607961</v>
      </c>
      <c r="Q359" s="179">
        <v>933630.21150719747</v>
      </c>
      <c r="R359" s="179">
        <v>1469712.6729001715</v>
      </c>
      <c r="S359" s="179">
        <v>63.542594241996589</v>
      </c>
      <c r="T359" s="180">
        <v>8374378.98411394</v>
      </c>
      <c r="U359" s="182">
        <v>31833196212127.801</v>
      </c>
      <c r="V359" s="138">
        <v>4</v>
      </c>
      <c r="W359" s="138">
        <v>4</v>
      </c>
      <c r="X359" s="138">
        <v>4</v>
      </c>
      <c r="Y359" s="138">
        <v>4</v>
      </c>
      <c r="Z359" s="138">
        <v>4</v>
      </c>
      <c r="AA359" s="139">
        <v>4</v>
      </c>
      <c r="AB359" s="138">
        <v>4</v>
      </c>
      <c r="AC359" s="138">
        <v>4</v>
      </c>
      <c r="AD359" s="138">
        <v>4</v>
      </c>
      <c r="AE359" s="138">
        <v>4</v>
      </c>
      <c r="AF359" s="137">
        <v>1</v>
      </c>
      <c r="AG359" s="138">
        <v>1</v>
      </c>
      <c r="AH359" s="138">
        <v>1</v>
      </c>
      <c r="AI359" s="138">
        <v>1</v>
      </c>
      <c r="AJ359" s="138">
        <v>2</v>
      </c>
      <c r="AK359" s="172">
        <f t="shared" si="40"/>
        <v>89.247058896939535</v>
      </c>
      <c r="AL359" s="184">
        <f t="shared" si="41"/>
        <v>80.597678803540774</v>
      </c>
      <c r="AM359" s="185">
        <f t="shared" si="46"/>
        <v>74.384668803229417</v>
      </c>
      <c r="AN359" s="186">
        <f t="shared" si="47"/>
        <v>65.735288709830641</v>
      </c>
      <c r="AO359" s="138" t="str">
        <f>IF(head!$F$82="S460","a0","b")</f>
        <v>b</v>
      </c>
      <c r="AP359" s="138">
        <f t="shared" si="42"/>
        <v>0.34</v>
      </c>
      <c r="AQ359" s="140">
        <f>IF(head!F$82="S235",235,IF(head!F$82="S275",275,IF(head!F$82="S355",355,IF(head!F$82="S420",420,460))))^0.5*head!$G$70*1000/(S359*3.1416*210000^0.5)</f>
        <v>2.0596275821393046</v>
      </c>
      <c r="AR359" s="140">
        <f t="shared" si="43"/>
        <v>2.9371695775181808</v>
      </c>
      <c r="AS359" s="140">
        <f t="shared" si="44"/>
        <v>0.19876034350366115</v>
      </c>
      <c r="AT359" s="141">
        <f>IF(head!F$82="S235",235,IF(head!F$82="S275",275,IF(head!F$82="S355",355,IF(head!F$82="S420",420,460))))*AS359*J359/1000</f>
        <v>2447.3403127809552</v>
      </c>
      <c r="AU359" s="199">
        <f t="shared" si="48"/>
        <v>3139.2865219280084</v>
      </c>
      <c r="AV359" s="141">
        <f>3.1416*1.13*head!$G$66/(1.4*head!$G$67)*((1+3.1416^2*AU359^2/(1.4*head!$G$67*1000)^2*(0.45^2+1))^0.5+3.1416*0.45*database!AU359/(1.4*head!$G$67*1000))</f>
        <v>70.681391667208004</v>
      </c>
      <c r="AW359" s="141">
        <f>AV359/(head!$G$66*1000)*(210000*database!P359*81000*database!T359)^0.5</f>
        <v>31569422113.141384</v>
      </c>
      <c r="AX359" s="183">
        <f>IF(head!$F$82="S235",database!AF359,(IF(head!$F$82="S275",database!AG359,IF(head!$F$82="S355",database!AH359,IF(head!$F$82="S420",database!AI359,database!AJ359)))))</f>
        <v>1</v>
      </c>
      <c r="AY359" s="141">
        <f t="shared" si="45"/>
        <v>12824377.909507828</v>
      </c>
      <c r="AZ359" s="202">
        <f>(AY359*VLOOKUP(head!$F$82,head!$L$1:$M$5,2)/AW359)^0.5</f>
        <v>0.37975107694204474</v>
      </c>
      <c r="BA359" s="144" t="s">
        <v>153</v>
      </c>
    </row>
    <row r="360" spans="1:53">
      <c r="A360" s="98"/>
      <c r="B360" s="62">
        <v>0</v>
      </c>
      <c r="C360" s="99"/>
      <c r="D360" s="99"/>
      <c r="E360" s="126"/>
      <c r="F360" s="99"/>
      <c r="G360" s="99"/>
      <c r="H360" s="100"/>
      <c r="I360" s="101"/>
      <c r="J360" s="101"/>
      <c r="K360" s="101"/>
      <c r="L360" s="102"/>
      <c r="M360" s="101"/>
      <c r="N360" s="101"/>
      <c r="O360" s="103"/>
      <c r="P360" s="101"/>
      <c r="Q360" s="101"/>
      <c r="R360" s="101"/>
      <c r="S360" s="101"/>
      <c r="T360" s="102"/>
      <c r="U360" s="104"/>
      <c r="V360" s="70"/>
      <c r="W360" s="70"/>
      <c r="X360" s="70"/>
      <c r="Y360" s="70"/>
      <c r="Z360" s="70"/>
      <c r="AA360" s="71"/>
      <c r="AB360" s="70"/>
      <c r="AC360" s="70"/>
      <c r="AD360" s="70"/>
      <c r="AE360" s="70"/>
      <c r="AF360" s="69"/>
      <c r="AG360" s="70"/>
      <c r="AH360" s="70"/>
      <c r="AI360" s="70"/>
      <c r="AJ360" s="70"/>
      <c r="AK360" s="78"/>
      <c r="AL360" s="106"/>
      <c r="AM360" s="107"/>
      <c r="AN360" s="108"/>
      <c r="AO360" s="70"/>
      <c r="AP360" s="70"/>
      <c r="AQ360" s="72"/>
      <c r="AR360" s="72"/>
      <c r="AS360" s="72"/>
      <c r="AT360" s="52"/>
      <c r="AU360" s="192"/>
      <c r="AV360" s="52"/>
      <c r="AW360" s="52"/>
      <c r="AX360" s="105"/>
      <c r="AY360" s="52"/>
      <c r="AZ360" s="191"/>
      <c r="BA360" s="77" t="str">
        <f t="shared" ref="BA360:BA383" si="49">A361</f>
        <v>HEAA 100</v>
      </c>
    </row>
    <row r="361" spans="1:53">
      <c r="A361" s="98" t="s">
        <v>876</v>
      </c>
      <c r="B361" s="62">
        <f t="shared" si="39"/>
        <v>17.498195778381149</v>
      </c>
      <c r="C361" s="99">
        <v>91</v>
      </c>
      <c r="D361" s="99">
        <v>100</v>
      </c>
      <c r="E361" s="126">
        <v>4.2</v>
      </c>
      <c r="F361" s="99">
        <v>5.5</v>
      </c>
      <c r="G361" s="99">
        <v>12</v>
      </c>
      <c r="H361" s="100">
        <v>12.242943664382098</v>
      </c>
      <c r="I361" s="101">
        <v>12.476885263064558</v>
      </c>
      <c r="J361" s="101">
        <v>1559.6106578830697</v>
      </c>
      <c r="K361" s="101">
        <v>0.55299822368615503</v>
      </c>
      <c r="L361" s="102">
        <v>2365076.4061307837</v>
      </c>
      <c r="M361" s="101">
        <v>51979.701233643602</v>
      </c>
      <c r="N361" s="101">
        <v>58358.098420725961</v>
      </c>
      <c r="O361" s="103">
        <v>38.941662690098383</v>
      </c>
      <c r="P361" s="101">
        <v>920611.20524419029</v>
      </c>
      <c r="Q361" s="101">
        <v>18412.224104883804</v>
      </c>
      <c r="R361" s="101">
        <v>28443.710276151283</v>
      </c>
      <c r="S361" s="101">
        <v>24.295734393520604</v>
      </c>
      <c r="T361" s="102">
        <v>21882.314125389301</v>
      </c>
      <c r="U361" s="104">
        <v>1605842256.22962</v>
      </c>
      <c r="V361" s="70">
        <v>1</v>
      </c>
      <c r="W361" s="70">
        <v>1</v>
      </c>
      <c r="X361" s="70">
        <v>1</v>
      </c>
      <c r="Y361" s="70">
        <v>1</v>
      </c>
      <c r="Z361" s="70">
        <v>2</v>
      </c>
      <c r="AA361" s="71">
        <v>1</v>
      </c>
      <c r="AB361" s="70">
        <v>1</v>
      </c>
      <c r="AC361" s="70">
        <v>2</v>
      </c>
      <c r="AD361" s="70">
        <v>3</v>
      </c>
      <c r="AE361" s="70">
        <v>3</v>
      </c>
      <c r="AF361" s="69">
        <v>1</v>
      </c>
      <c r="AG361" s="70">
        <v>1</v>
      </c>
      <c r="AH361" s="70">
        <v>1</v>
      </c>
      <c r="AI361" s="70">
        <v>1</v>
      </c>
      <c r="AJ361" s="70">
        <v>2</v>
      </c>
      <c r="AK361" s="78">
        <v>354.57453492704684</v>
      </c>
      <c r="AL361" s="106">
        <v>290.45596822288331</v>
      </c>
      <c r="AM361" s="107">
        <v>244.93292480990476</v>
      </c>
      <c r="AN361" s="108">
        <v>180.81435810574121</v>
      </c>
      <c r="AO361" s="70" t="str">
        <f>IF(head!$F$82="S460","a","c")</f>
        <v>c</v>
      </c>
      <c r="AP361" s="70">
        <f t="shared" si="42"/>
        <v>0.49</v>
      </c>
      <c r="AQ361" s="72">
        <f>IF(head!F$82="S235",235,IF(head!F$82="S275",275,IF(head!F$82="S355",355,IF(head!F$82="S420",420,460))))^0.5*head!$G$70*1000/(S361*3.1416*210000^0.5)</f>
        <v>5.3867101780798601</v>
      </c>
      <c r="AR361" s="72">
        <f t="shared" ref="AR361:AR384" si="50">0.5*(1+AP361*(AQ361-0.2)+AQ361^2)</f>
        <v>16.279067264944146</v>
      </c>
      <c r="AS361" s="72">
        <f t="shared" ref="AS361:AS384" si="51">IF(AQ361&lt;=0.2,1,1/(AR361+(AR361^2-AQ361^2)^0.5))</f>
        <v>3.1604485442778725E-2</v>
      </c>
      <c r="AT361" s="52">
        <f>IF(head!F$82="S235",235,IF(head!F$82="S275",275,IF(head!F$82="S355",355,IF(head!F$82="S420",420,460))))*AS361*J361/1000</f>
        <v>17.498195778381149</v>
      </c>
      <c r="AU361" s="192">
        <f t="shared" ref="AU361:AU384" si="52">(210000*U361/(81000*T361))^0.5</f>
        <v>436.18623358676177</v>
      </c>
      <c r="AV361" s="52">
        <f>3.1416*1.13*head!$G$66/(1.4*head!$G$67)*((1+3.1416^2*AU361^2/(1.4*head!$G$67*1000)^2*(0.45^2+1))^0.5+3.1416*0.45*database!AU361/(1.4*head!$G$67*1000))</f>
        <v>17.181250088077999</v>
      </c>
      <c r="AW361" s="52">
        <f>AV361/(head!$G$66*1000)*(210000*database!P361*81000*database!T361)^0.5</f>
        <v>31804726.742974952</v>
      </c>
      <c r="AX361" s="105">
        <f>IF(head!$F$82="S235",database!AF361,(IF(head!$F$82="S275",database!AG361,IF(head!$F$82="S355",database!AH361,IF(head!$F$82="S420",database!AI361,database!AJ361)))))</f>
        <v>1</v>
      </c>
      <c r="AY361" s="52">
        <f t="shared" ref="AY361:AY384" si="53">IF(AX361&lt;=2,N361,M361)</f>
        <v>58358.098420725961</v>
      </c>
      <c r="AZ361" s="191">
        <f>(AY361*VLOOKUP(head!$F$82,head!$L$1:$M$5,2)/AW361)^0.5</f>
        <v>0.80708431693126359</v>
      </c>
      <c r="BA361" s="77" t="str">
        <f t="shared" si="49"/>
        <v>HEAA 120</v>
      </c>
    </row>
    <row r="362" spans="1:53">
      <c r="A362" s="98" t="s">
        <v>877</v>
      </c>
      <c r="B362" s="62">
        <f t="shared" si="39"/>
        <v>29.663912006847216</v>
      </c>
      <c r="C362" s="99">
        <v>109</v>
      </c>
      <c r="D362" s="99">
        <v>120</v>
      </c>
      <c r="E362" s="126">
        <v>4.2</v>
      </c>
      <c r="F362" s="99">
        <v>5.5</v>
      </c>
      <c r="G362" s="99">
        <v>12</v>
      </c>
      <c r="H362" s="100">
        <v>14.563403664382097</v>
      </c>
      <c r="I362" s="101">
        <v>14.841685263064557</v>
      </c>
      <c r="J362" s="101">
        <v>1855.2106578830696</v>
      </c>
      <c r="K362" s="101">
        <v>0.66899822368615502</v>
      </c>
      <c r="L362" s="102">
        <v>4133620.1743257134</v>
      </c>
      <c r="M362" s="101">
        <v>75846.241730747031</v>
      </c>
      <c r="N362" s="101">
        <v>84119.79434167358</v>
      </c>
      <c r="O362" s="103">
        <v>47.202898653642983</v>
      </c>
      <c r="P362" s="101">
        <v>1588055.6705775238</v>
      </c>
      <c r="Q362" s="101">
        <v>26467.594509625396</v>
      </c>
      <c r="R362" s="101">
        <v>40623.090276151292</v>
      </c>
      <c r="S362" s="101">
        <v>29.257434818531163</v>
      </c>
      <c r="T362" s="102">
        <v>24545.453422306698</v>
      </c>
      <c r="U362" s="104">
        <v>4118559215.7061801</v>
      </c>
      <c r="V362" s="70">
        <v>1</v>
      </c>
      <c r="W362" s="70">
        <v>2</v>
      </c>
      <c r="X362" s="70">
        <v>3</v>
      </c>
      <c r="Y362" s="70">
        <v>3</v>
      </c>
      <c r="Z362" s="70">
        <v>3</v>
      </c>
      <c r="AA362" s="71">
        <v>2</v>
      </c>
      <c r="AB362" s="70">
        <v>3</v>
      </c>
      <c r="AC362" s="70">
        <v>3</v>
      </c>
      <c r="AD362" s="70">
        <v>3</v>
      </c>
      <c r="AE362" s="70">
        <v>3</v>
      </c>
      <c r="AF362" s="69">
        <v>1</v>
      </c>
      <c r="AG362" s="70">
        <v>2</v>
      </c>
      <c r="AH362" s="70">
        <v>3</v>
      </c>
      <c r="AI362" s="70">
        <v>3</v>
      </c>
      <c r="AJ362" s="70">
        <v>3</v>
      </c>
      <c r="AK362" s="78">
        <v>360.60499159137578</v>
      </c>
      <c r="AL362" s="106">
        <v>295.92231014487703</v>
      </c>
      <c r="AM362" s="107">
        <v>246.8722341874703</v>
      </c>
      <c r="AN362" s="108">
        <v>182.18955274097155</v>
      </c>
      <c r="AO362" s="70" t="str">
        <f>IF(head!$F$82="S460","a","c")</f>
        <v>c</v>
      </c>
      <c r="AP362" s="70">
        <f t="shared" si="42"/>
        <v>0.49</v>
      </c>
      <c r="AQ362" s="72">
        <f>IF(head!F$82="S235",235,IF(head!F$82="S275",275,IF(head!F$82="S355",355,IF(head!F$82="S420",420,460))))^0.5*head!$G$70*1000/(S362*3.1416*210000^0.5)</f>
        <v>4.4731905087799744</v>
      </c>
      <c r="AR362" s="72">
        <f t="shared" si="50"/>
        <v>11.551648338570716</v>
      </c>
      <c r="AS362" s="72">
        <f t="shared" si="51"/>
        <v>4.5040877248729308E-2</v>
      </c>
      <c r="AT362" s="52">
        <f>IF(head!F$82="S235",235,IF(head!F$82="S275",275,IF(head!F$82="S355",355,IF(head!F$82="S420",420,460))))*AS362*J362/1000</f>
        <v>29.663912006847216</v>
      </c>
      <c r="AU362" s="192">
        <f t="shared" si="52"/>
        <v>659.55993364047299</v>
      </c>
      <c r="AV362" s="52">
        <f>3.1416*1.13*head!$G$66/(1.4*head!$G$67)*((1+3.1416^2*AU362^2/(1.4*head!$G$67*1000)^2*(0.45^2+1))^0.5+3.1416*0.45*database!AU362/(1.4*head!$G$67*1000))</f>
        <v>20.550150688433494</v>
      </c>
      <c r="AW362" s="52">
        <f>AV362/(head!$G$66*1000)*(210000*database!P362*81000*database!T362)^0.5</f>
        <v>52915823.427075215</v>
      </c>
      <c r="AX362" s="105">
        <f>IF(head!$F$82="S235",database!AF362,(IF(head!$F$82="S275",database!AG362,IF(head!$F$82="S355",database!AH362,IF(head!$F$82="S420",database!AI362,database!AJ362)))))</f>
        <v>3</v>
      </c>
      <c r="AY362" s="52">
        <f t="shared" si="53"/>
        <v>75846.241730747031</v>
      </c>
      <c r="AZ362" s="191">
        <f>(AY362*VLOOKUP(head!$F$82,head!$L$1:$M$5,2)/AW362)^0.5</f>
        <v>0.71332661800316699</v>
      </c>
      <c r="BA362" s="77" t="str">
        <f t="shared" si="49"/>
        <v>HEAA 140</v>
      </c>
    </row>
    <row r="363" spans="1:53">
      <c r="A363" s="98" t="s">
        <v>878</v>
      </c>
      <c r="B363" s="62">
        <f t="shared" si="39"/>
        <v>50.382881025629665</v>
      </c>
      <c r="C363" s="99">
        <v>128</v>
      </c>
      <c r="D363" s="99">
        <v>140</v>
      </c>
      <c r="E363" s="126">
        <v>4.3</v>
      </c>
      <c r="F363" s="99">
        <v>6</v>
      </c>
      <c r="G363" s="99">
        <v>12</v>
      </c>
      <c r="H363" s="100">
        <v>18.0739236643821</v>
      </c>
      <c r="I363" s="101">
        <v>18.419285263064559</v>
      </c>
      <c r="J363" s="101">
        <v>2302.4106578830701</v>
      </c>
      <c r="K363" s="101">
        <v>0.78679822368615493</v>
      </c>
      <c r="L363" s="102">
        <v>7194547.2024310334</v>
      </c>
      <c r="M363" s="101">
        <v>112414.8000379849</v>
      </c>
      <c r="N363" s="101">
        <v>123783.29026262122</v>
      </c>
      <c r="O363" s="103">
        <v>55.899811018984899</v>
      </c>
      <c r="P363" s="101">
        <v>2748278.5862984504</v>
      </c>
      <c r="Q363" s="101">
        <v>39261.122661406436</v>
      </c>
      <c r="R363" s="101">
        <v>59933.300809045439</v>
      </c>
      <c r="S363" s="101">
        <v>34.549278593895572</v>
      </c>
      <c r="T363" s="102">
        <v>33021.306516591801</v>
      </c>
      <c r="U363" s="104">
        <v>9991708317.5792408</v>
      </c>
      <c r="V363" s="70">
        <v>2</v>
      </c>
      <c r="W363" s="70">
        <v>3</v>
      </c>
      <c r="X363" s="70">
        <v>3</v>
      </c>
      <c r="Y363" s="70">
        <v>3</v>
      </c>
      <c r="Z363" s="70">
        <v>3</v>
      </c>
      <c r="AA363" s="71">
        <v>3</v>
      </c>
      <c r="AB363" s="70">
        <v>3</v>
      </c>
      <c r="AC363" s="70">
        <v>3</v>
      </c>
      <c r="AD363" s="70">
        <v>4</v>
      </c>
      <c r="AE363" s="70">
        <v>4</v>
      </c>
      <c r="AF363" s="69">
        <v>2</v>
      </c>
      <c r="AG363" s="70">
        <v>3</v>
      </c>
      <c r="AH363" s="70">
        <v>3</v>
      </c>
      <c r="AI363" s="70">
        <v>3</v>
      </c>
      <c r="AJ363" s="70">
        <v>3</v>
      </c>
      <c r="AK363" s="78">
        <v>341.72801493612315</v>
      </c>
      <c r="AL363" s="106">
        <v>280.92218105038114</v>
      </c>
      <c r="AM363" s="107">
        <v>232.79947830541238</v>
      </c>
      <c r="AN363" s="108">
        <v>171.99364441967032</v>
      </c>
      <c r="AO363" s="70" t="str">
        <f>IF(head!$F$82="S460","a","c")</f>
        <v>c</v>
      </c>
      <c r="AP363" s="70">
        <f t="shared" si="42"/>
        <v>0.49</v>
      </c>
      <c r="AQ363" s="72">
        <f>IF(head!F$82="S235",235,IF(head!F$82="S275",275,IF(head!F$82="S355",355,IF(head!F$82="S420",420,460))))^0.5*head!$G$70*1000/(S363*3.1416*210000^0.5)</f>
        <v>3.7880408815432163</v>
      </c>
      <c r="AR363" s="72">
        <f t="shared" si="50"/>
        <v>8.5536968760994423</v>
      </c>
      <c r="AS363" s="72">
        <f t="shared" si="51"/>
        <v>6.1641309745061199E-2</v>
      </c>
      <c r="AT363" s="52">
        <f>IF(head!F$82="S235",235,IF(head!F$82="S275",275,IF(head!F$82="S355",355,IF(head!F$82="S420",420,460))))*AS363*J363/1000</f>
        <v>50.382881025629665</v>
      </c>
      <c r="AU363" s="192">
        <f t="shared" si="52"/>
        <v>885.70660913543963</v>
      </c>
      <c r="AV363" s="52">
        <f>3.1416*1.13*head!$G$66/(1.4*head!$G$67)*((1+3.1416^2*AU363^2/(1.4*head!$G$67*1000)^2*(0.45^2+1))^0.5+3.1416*0.45*database!AU363/(1.4*head!$G$67*1000))</f>
        <v>24.421885506752741</v>
      </c>
      <c r="AW363" s="52">
        <f>AV363/(head!$G$66*1000)*(210000*database!P363*81000*database!T363)^0.5</f>
        <v>95953064.801038355</v>
      </c>
      <c r="AX363" s="105">
        <f>IF(head!$F$82="S235",database!AF363,(IF(head!$F$82="S275",database!AG363,IF(head!$F$82="S355",database!AH363,IF(head!$F$82="S420",database!AI363,database!AJ363)))))</f>
        <v>3</v>
      </c>
      <c r="AY363" s="52">
        <f t="shared" si="53"/>
        <v>112414.8000379849</v>
      </c>
      <c r="AZ363" s="191">
        <f>(AY363*VLOOKUP(head!$F$82,head!$L$1:$M$5,2)/AW363)^0.5</f>
        <v>0.64490611837637668</v>
      </c>
      <c r="BA363" s="77" t="str">
        <f t="shared" si="49"/>
        <v>HEAA 160</v>
      </c>
    </row>
    <row r="364" spans="1:53">
      <c r="A364" s="98" t="s">
        <v>879</v>
      </c>
      <c r="B364" s="62">
        <f t="shared" si="39"/>
        <v>86.146842386175663</v>
      </c>
      <c r="C364" s="99">
        <v>148</v>
      </c>
      <c r="D364" s="99">
        <v>160</v>
      </c>
      <c r="E364" s="126">
        <v>4.5</v>
      </c>
      <c r="F364" s="99">
        <v>7</v>
      </c>
      <c r="G364" s="99">
        <v>15</v>
      </c>
      <c r="H364" s="100">
        <v>23.83371197559703</v>
      </c>
      <c r="I364" s="101">
        <v>24.289133223538371</v>
      </c>
      <c r="J364" s="101">
        <v>3036.1416529422968</v>
      </c>
      <c r="K364" s="101">
        <v>0.90124777960769387</v>
      </c>
      <c r="L364" s="102">
        <v>12828789.914200641</v>
      </c>
      <c r="M364" s="101">
        <v>173362.02586757622</v>
      </c>
      <c r="N364" s="101">
        <v>190413.86595299942</v>
      </c>
      <c r="O364" s="103">
        <v>65.00276516769128</v>
      </c>
      <c r="P364" s="101">
        <v>4787270.1602483122</v>
      </c>
      <c r="Q364" s="101">
        <v>59840.877003103902</v>
      </c>
      <c r="R364" s="101">
        <v>91360.06851325462</v>
      </c>
      <c r="S364" s="101">
        <v>39.708451688593016</v>
      </c>
      <c r="T364" s="102">
        <v>60639.413204904195</v>
      </c>
      <c r="U364" s="104">
        <v>23191525200.7686</v>
      </c>
      <c r="V364" s="70">
        <v>1</v>
      </c>
      <c r="W364" s="70">
        <v>2</v>
      </c>
      <c r="X364" s="70">
        <v>3</v>
      </c>
      <c r="Y364" s="70">
        <v>3</v>
      </c>
      <c r="Z364" s="70">
        <v>3</v>
      </c>
      <c r="AA364" s="71">
        <v>3</v>
      </c>
      <c r="AB364" s="70">
        <v>3</v>
      </c>
      <c r="AC364" s="70">
        <v>3</v>
      </c>
      <c r="AD364" s="70">
        <v>4</v>
      </c>
      <c r="AE364" s="70">
        <v>4</v>
      </c>
      <c r="AF364" s="69">
        <v>1</v>
      </c>
      <c r="AG364" s="70">
        <v>2</v>
      </c>
      <c r="AH364" s="70">
        <v>3</v>
      </c>
      <c r="AI364" s="70">
        <v>3</v>
      </c>
      <c r="AJ364" s="70">
        <v>3</v>
      </c>
      <c r="AK364" s="78">
        <v>296.83983246773187</v>
      </c>
      <c r="AL364" s="106">
        <v>244.14136899355714</v>
      </c>
      <c r="AM364" s="107">
        <v>202.88908437557257</v>
      </c>
      <c r="AN364" s="108">
        <v>150.19062090139786</v>
      </c>
      <c r="AO364" s="70" t="str">
        <f>IF(head!$F$82="S460","a","c")</f>
        <v>c</v>
      </c>
      <c r="AP364" s="70">
        <f t="shared" si="42"/>
        <v>0.49</v>
      </c>
      <c r="AQ364" s="72">
        <f>IF(head!F$82="S235",235,IF(head!F$82="S275",275,IF(head!F$82="S355",355,IF(head!F$82="S420",420,460))))^0.5*head!$G$70*1000/(S364*3.1416*210000^0.5)</f>
        <v>3.2958746608369607</v>
      </c>
      <c r="AR364" s="72">
        <f t="shared" si="50"/>
        <v>6.6898841818786305</v>
      </c>
      <c r="AS364" s="72">
        <f t="shared" si="51"/>
        <v>7.9926165966608481E-2</v>
      </c>
      <c r="AT364" s="52">
        <f>IF(head!F$82="S235",235,IF(head!F$82="S275",275,IF(head!F$82="S355",355,IF(head!F$82="S420",420,460))))*AS364*J364/1000</f>
        <v>86.146842386175663</v>
      </c>
      <c r="AU364" s="192">
        <f t="shared" si="52"/>
        <v>995.75913314293871</v>
      </c>
      <c r="AV364" s="52">
        <f>3.1416*1.13*head!$G$66/(1.4*head!$G$67)*((1+3.1416^2*AU364^2/(1.4*head!$G$67*1000)^2*(0.45^2+1))^0.5+3.1416*0.45*database!AU364/(1.4*head!$G$67*1000))</f>
        <v>26.424895283008265</v>
      </c>
      <c r="AW364" s="52">
        <f>AV364/(head!$G$66*1000)*(210000*database!P364*81000*database!T364)^0.5</f>
        <v>185689306.88827348</v>
      </c>
      <c r="AX364" s="105">
        <f>IF(head!$F$82="S235",database!AF364,(IF(head!$F$82="S275",database!AG364,IF(head!$F$82="S355",database!AH364,IF(head!$F$82="S420",database!AI364,database!AJ364)))))</f>
        <v>3</v>
      </c>
      <c r="AY364" s="52">
        <f t="shared" si="53"/>
        <v>173362.02586757622</v>
      </c>
      <c r="AZ364" s="191">
        <f>(AY364*VLOOKUP(head!$F$82,head!$L$1:$M$5,2)/AW364)^0.5</f>
        <v>0.5757019700994942</v>
      </c>
      <c r="BA364" s="77" t="str">
        <f t="shared" si="49"/>
        <v>HEAA 180</v>
      </c>
    </row>
    <row r="365" spans="1:53">
      <c r="A365" s="98" t="s">
        <v>880</v>
      </c>
      <c r="B365" s="62">
        <f t="shared" si="39"/>
        <v>128.96560426643526</v>
      </c>
      <c r="C365" s="99">
        <v>167</v>
      </c>
      <c r="D365" s="99">
        <v>180</v>
      </c>
      <c r="E365" s="126">
        <v>5</v>
      </c>
      <c r="F365" s="99">
        <v>7.5</v>
      </c>
      <c r="G365" s="99">
        <v>15</v>
      </c>
      <c r="H365" s="100">
        <v>28.677161975597031</v>
      </c>
      <c r="I365" s="101">
        <v>29.225133223538371</v>
      </c>
      <c r="J365" s="101">
        <v>3653.1416529422968</v>
      </c>
      <c r="K365" s="101">
        <v>1.0182477796076939</v>
      </c>
      <c r="L365" s="102">
        <v>19668997.641909622</v>
      </c>
      <c r="M365" s="101">
        <v>235556.85798694158</v>
      </c>
      <c r="N365" s="101">
        <v>258236.64082948005</v>
      </c>
      <c r="O365" s="103">
        <v>73.376646217765213</v>
      </c>
      <c r="P365" s="101">
        <v>7299722.1825249149</v>
      </c>
      <c r="Q365" s="101">
        <v>81108.024250276838</v>
      </c>
      <c r="R365" s="101">
        <v>123579.97892649019</v>
      </c>
      <c r="S365" s="101">
        <v>44.701274901737634</v>
      </c>
      <c r="T365" s="102">
        <v>79790.5050540503</v>
      </c>
      <c r="U365" s="104">
        <v>45469117400.669296</v>
      </c>
      <c r="V365" s="70">
        <v>2</v>
      </c>
      <c r="W365" s="70">
        <v>3</v>
      </c>
      <c r="X365" s="70">
        <v>3</v>
      </c>
      <c r="Y365" s="70">
        <v>3</v>
      </c>
      <c r="Z365" s="70">
        <v>3</v>
      </c>
      <c r="AA365" s="71">
        <v>3</v>
      </c>
      <c r="AB365" s="70">
        <v>3</v>
      </c>
      <c r="AC365" s="70">
        <v>3</v>
      </c>
      <c r="AD365" s="70">
        <v>4</v>
      </c>
      <c r="AE365" s="70">
        <v>4</v>
      </c>
      <c r="AF365" s="69">
        <v>2</v>
      </c>
      <c r="AG365" s="70">
        <v>3</v>
      </c>
      <c r="AH365" s="70">
        <v>3</v>
      </c>
      <c r="AI365" s="70">
        <v>3</v>
      </c>
      <c r="AJ365" s="70">
        <v>3</v>
      </c>
      <c r="AK365" s="78">
        <v>278.732082230532</v>
      </c>
      <c r="AL365" s="106">
        <v>229.45942403644713</v>
      </c>
      <c r="AM365" s="107">
        <v>189.97347103719389</v>
      </c>
      <c r="AN365" s="108">
        <v>140.70081284310902</v>
      </c>
      <c r="AO365" s="70" t="str">
        <f>IF(head!$F$82="S460","a","c")</f>
        <v>c</v>
      </c>
      <c r="AP365" s="70">
        <f t="shared" si="42"/>
        <v>0.49</v>
      </c>
      <c r="AQ365" s="72">
        <f>IF(head!F$82="S235",235,IF(head!F$82="S275",275,IF(head!F$82="S355",355,IF(head!F$82="S420",420,460))))^0.5*head!$G$70*1000/(S365*3.1416*210000^0.5)</f>
        <v>2.9277482583928496</v>
      </c>
      <c r="AR365" s="72">
        <f t="shared" si="50"/>
        <v>5.4541532555674301</v>
      </c>
      <c r="AS365" s="72">
        <f t="shared" si="51"/>
        <v>9.9444102313203095E-2</v>
      </c>
      <c r="AT365" s="52">
        <f>IF(head!F$82="S235",235,IF(head!F$82="S275",275,IF(head!F$82="S355",355,IF(head!F$82="S420",420,460))))*AS365*J365/1000</f>
        <v>128.96560426643526</v>
      </c>
      <c r="AU365" s="192">
        <f t="shared" si="52"/>
        <v>1215.4855298432508</v>
      </c>
      <c r="AV365" s="52">
        <f>3.1416*1.13*head!$G$66/(1.4*head!$G$67)*((1+3.1416^2*AU365^2/(1.4*head!$G$67*1000)^2*(0.45^2+1))^0.5+3.1416*0.45*database!AU365/(1.4*head!$G$67*1000))</f>
        <v>30.590016780572455</v>
      </c>
      <c r="AW365" s="52">
        <f>AV365/(head!$G$66*1000)*(210000*database!P365*81000*database!T365)^0.5</f>
        <v>304481313.85086864</v>
      </c>
      <c r="AX365" s="105">
        <f>IF(head!$F$82="S235",database!AF365,(IF(head!$F$82="S275",database!AG365,IF(head!$F$82="S355",database!AH365,IF(head!$F$82="S420",database!AI365,database!AJ365)))))</f>
        <v>3</v>
      </c>
      <c r="AY365" s="52">
        <f t="shared" si="53"/>
        <v>235556.85798694158</v>
      </c>
      <c r="AZ365" s="191">
        <f>(AY365*VLOOKUP(head!$F$82,head!$L$1:$M$5,2)/AW365)^0.5</f>
        <v>0.52406086632254023</v>
      </c>
      <c r="BA365" s="77" t="str">
        <f t="shared" si="49"/>
        <v>HEAA 200</v>
      </c>
    </row>
    <row r="366" spans="1:53">
      <c r="A366" s="98" t="s">
        <v>881</v>
      </c>
      <c r="B366" s="62">
        <f t="shared" si="39"/>
        <v>185.58995198368964</v>
      </c>
      <c r="C366" s="99">
        <v>186</v>
      </c>
      <c r="D366" s="99">
        <v>200</v>
      </c>
      <c r="E366" s="126">
        <v>5.5</v>
      </c>
      <c r="F366" s="99">
        <v>8</v>
      </c>
      <c r="G366" s="99">
        <v>18</v>
      </c>
      <c r="H366" s="100">
        <v>34.643023244859727</v>
      </c>
      <c r="I366" s="101">
        <v>35.304991841895259</v>
      </c>
      <c r="J366" s="101">
        <v>4413.1239802369073</v>
      </c>
      <c r="K366" s="101">
        <v>1.1300973355292325</v>
      </c>
      <c r="L366" s="102">
        <v>29443068.923016001</v>
      </c>
      <c r="M366" s="101">
        <v>316592.13895716128</v>
      </c>
      <c r="N366" s="101">
        <v>347059.80667587277</v>
      </c>
      <c r="O366" s="103">
        <v>81.680516169921077</v>
      </c>
      <c r="P366" s="101">
        <v>10684941.444473278</v>
      </c>
      <c r="Q366" s="101">
        <v>106849.41444473276</v>
      </c>
      <c r="R366" s="101">
        <v>163168.69758991583</v>
      </c>
      <c r="S366" s="101">
        <v>49.205427461962287</v>
      </c>
      <c r="T366" s="102">
        <v>117524.700862873</v>
      </c>
      <c r="U366" s="104">
        <v>82643082699.156204</v>
      </c>
      <c r="V366" s="70">
        <v>2</v>
      </c>
      <c r="W366" s="70">
        <v>3</v>
      </c>
      <c r="X366" s="70">
        <v>3</v>
      </c>
      <c r="Y366" s="70">
        <v>3</v>
      </c>
      <c r="Z366" s="70">
        <v>3</v>
      </c>
      <c r="AA366" s="71">
        <v>3</v>
      </c>
      <c r="AB366" s="70">
        <v>3</v>
      </c>
      <c r="AC366" s="70">
        <v>4</v>
      </c>
      <c r="AD366" s="70">
        <v>4</v>
      </c>
      <c r="AE366" s="70">
        <v>4</v>
      </c>
      <c r="AF366" s="69">
        <v>2</v>
      </c>
      <c r="AG366" s="70">
        <v>3</v>
      </c>
      <c r="AH366" s="70">
        <v>3</v>
      </c>
      <c r="AI366" s="70">
        <v>3</v>
      </c>
      <c r="AJ366" s="70">
        <v>3</v>
      </c>
      <c r="AK366" s="78">
        <v>256.07649832411147</v>
      </c>
      <c r="AL366" s="106">
        <v>210.75712798789368</v>
      </c>
      <c r="AM366" s="107">
        <v>174.93276949780076</v>
      </c>
      <c r="AN366" s="108">
        <v>129.61339916158295</v>
      </c>
      <c r="AO366" s="70" t="str">
        <f>IF(head!$F$82="S460","a","c")</f>
        <v>c</v>
      </c>
      <c r="AP366" s="70">
        <f t="shared" si="42"/>
        <v>0.49</v>
      </c>
      <c r="AQ366" s="72">
        <f>IF(head!F$82="S235",235,IF(head!F$82="S275",275,IF(head!F$82="S355",355,IF(head!F$82="S420",420,460))))^0.5*head!$G$70*1000/(S366*3.1416*210000^0.5)</f>
        <v>2.6597488629211301</v>
      </c>
      <c r="AR366" s="72">
        <f t="shared" si="50"/>
        <v>4.6397704783207994</v>
      </c>
      <c r="AS366" s="72">
        <f t="shared" si="51"/>
        <v>0.11846225020605231</v>
      </c>
      <c r="AT366" s="52">
        <f>IF(head!F$82="S235",235,IF(head!F$82="S275",275,IF(head!F$82="S355",355,IF(head!F$82="S420",420,460))))*AS366*J366/1000</f>
        <v>185.58995198368964</v>
      </c>
      <c r="AU366" s="192">
        <f t="shared" si="52"/>
        <v>1350.22397440289</v>
      </c>
      <c r="AV366" s="52">
        <f>3.1416*1.13*head!$G$66/(1.4*head!$G$67)*((1+3.1416^2*AU366^2/(1.4*head!$G$67*1000)^2*(0.45^2+1))^0.5+3.1416*0.45*database!AU366/(1.4*head!$G$67*1000))</f>
        <v>33.227521481671552</v>
      </c>
      <c r="AW366" s="52">
        <f>AV366/(head!$G$66*1000)*(210000*database!P366*81000*database!T366)^0.5</f>
        <v>485624685.31579077</v>
      </c>
      <c r="AX366" s="105">
        <f>IF(head!$F$82="S235",database!AF366,(IF(head!$F$82="S275",database!AG366,IF(head!$F$82="S355",database!AH366,IF(head!$F$82="S420",database!AI366,database!AJ366)))))</f>
        <v>3</v>
      </c>
      <c r="AY366" s="52">
        <f t="shared" si="53"/>
        <v>316592.13895716128</v>
      </c>
      <c r="AZ366" s="191">
        <f>(AY366*VLOOKUP(head!$F$82,head!$L$1:$M$5,2)/AW366)^0.5</f>
        <v>0.48107618986508627</v>
      </c>
      <c r="BA366" s="77" t="str">
        <f t="shared" si="49"/>
        <v>HEAA 220</v>
      </c>
    </row>
    <row r="367" spans="1:53">
      <c r="A367" s="98" t="s">
        <v>882</v>
      </c>
      <c r="B367" s="62">
        <f t="shared" si="39"/>
        <v>257.3405411854377</v>
      </c>
      <c r="C367" s="99">
        <v>205</v>
      </c>
      <c r="D367" s="99">
        <v>220</v>
      </c>
      <c r="E367" s="126">
        <v>6</v>
      </c>
      <c r="F367" s="99">
        <v>8.5</v>
      </c>
      <c r="G367" s="99">
        <v>18</v>
      </c>
      <c r="H367" s="100">
        <v>40.397073244859726</v>
      </c>
      <c r="I367" s="101">
        <v>41.168991841895263</v>
      </c>
      <c r="J367" s="101">
        <v>5146.1239802369073</v>
      </c>
      <c r="K367" s="101">
        <v>1.2470973355292325</v>
      </c>
      <c r="L367" s="102">
        <v>41702247.818914227</v>
      </c>
      <c r="M367" s="101">
        <v>406851.19823330955</v>
      </c>
      <c r="N367" s="101">
        <v>445496.42249800498</v>
      </c>
      <c r="O367" s="103">
        <v>90.020124633696398</v>
      </c>
      <c r="P367" s="101">
        <v>15104927.384350332</v>
      </c>
      <c r="Q367" s="101">
        <v>137317.52167591211</v>
      </c>
      <c r="R367" s="101">
        <v>209344.60358497506</v>
      </c>
      <c r="S367" s="101">
        <v>54.177529637661898</v>
      </c>
      <c r="T367" s="102">
        <v>148246.14217082801</v>
      </c>
      <c r="U367" s="104">
        <v>142896833402.396</v>
      </c>
      <c r="V367" s="70">
        <v>3</v>
      </c>
      <c r="W367" s="70">
        <v>3</v>
      </c>
      <c r="X367" s="70">
        <v>3</v>
      </c>
      <c r="Y367" s="70">
        <v>3</v>
      </c>
      <c r="Z367" s="70">
        <v>4</v>
      </c>
      <c r="AA367" s="71">
        <v>3</v>
      </c>
      <c r="AB367" s="70">
        <v>3</v>
      </c>
      <c r="AC367" s="70">
        <v>4</v>
      </c>
      <c r="AD367" s="70">
        <v>4</v>
      </c>
      <c r="AE367" s="70">
        <v>4</v>
      </c>
      <c r="AF367" s="69">
        <v>3</v>
      </c>
      <c r="AG367" s="70">
        <v>3</v>
      </c>
      <c r="AH367" s="70">
        <v>3</v>
      </c>
      <c r="AI367" s="70">
        <v>3</v>
      </c>
      <c r="AJ367" s="70">
        <v>4</v>
      </c>
      <c r="AK367" s="78">
        <v>242.33721152435604</v>
      </c>
      <c r="AL367" s="106">
        <v>199.58658972727451</v>
      </c>
      <c r="AM367" s="107">
        <v>165.17285694326964</v>
      </c>
      <c r="AN367" s="108">
        <v>122.42223514618809</v>
      </c>
      <c r="AO367" s="70" t="str">
        <f>IF(head!$F$82="S460","a","c")</f>
        <v>c</v>
      </c>
      <c r="AP367" s="70">
        <f t="shared" si="42"/>
        <v>0.49</v>
      </c>
      <c r="AQ367" s="72">
        <f>IF(head!F$82="S235",235,IF(head!F$82="S275",275,IF(head!F$82="S355",355,IF(head!F$82="S420",420,460))))^0.5*head!$G$70*1000/(S367*3.1416*210000^0.5)</f>
        <v>2.4156524045445642</v>
      </c>
      <c r="AR367" s="72">
        <f t="shared" si="50"/>
        <v>3.9605231089043853</v>
      </c>
      <c r="AS367" s="72">
        <f t="shared" si="51"/>
        <v>0.14086386874871876</v>
      </c>
      <c r="AT367" s="52">
        <f>IF(head!F$82="S235",235,IF(head!F$82="S275",275,IF(head!F$82="S355",355,IF(head!F$82="S420",420,460))))*AS367*J367/1000</f>
        <v>257.3405411854377</v>
      </c>
      <c r="AU367" s="192">
        <f t="shared" si="52"/>
        <v>1580.8357186540281</v>
      </c>
      <c r="AV367" s="52">
        <f>3.1416*1.13*head!$G$66/(1.4*head!$G$67)*((1+3.1416^2*AU367^2/(1.4*head!$G$67*1000)^2*(0.45^2+1))^0.5+3.1416*0.45*database!AU367/(1.4*head!$G$67*1000))</f>
        <v>37.847989993322059</v>
      </c>
      <c r="AW367" s="52">
        <f>AV367/(head!$G$66*1000)*(210000*database!P367*81000*database!T367)^0.5</f>
        <v>738662409.15756738</v>
      </c>
      <c r="AX367" s="105">
        <f>IF(head!$F$82="S235",database!AF367,(IF(head!$F$82="S275",database!AG367,IF(head!$F$82="S355",database!AH367,IF(head!$F$82="S420",database!AI367,database!AJ367)))))</f>
        <v>3</v>
      </c>
      <c r="AY367" s="52">
        <f t="shared" si="53"/>
        <v>406851.19823330955</v>
      </c>
      <c r="AZ367" s="191">
        <f>(AY367*VLOOKUP(head!$F$82,head!$L$1:$M$5,2)/AW367)^0.5</f>
        <v>0.44219006133287614</v>
      </c>
      <c r="BA367" s="77" t="str">
        <f t="shared" si="49"/>
        <v>HEAA 240</v>
      </c>
    </row>
    <row r="368" spans="1:53">
      <c r="A368" s="98" t="s">
        <v>883</v>
      </c>
      <c r="B368" s="62">
        <f t="shared" si="39"/>
        <v>347.56195653819407</v>
      </c>
      <c r="C368" s="99">
        <v>224</v>
      </c>
      <c r="D368" s="99">
        <v>240</v>
      </c>
      <c r="E368" s="126">
        <v>6.5</v>
      </c>
      <c r="F368" s="99">
        <v>9</v>
      </c>
      <c r="G368" s="99">
        <v>21</v>
      </c>
      <c r="H368" s="100">
        <v>47.394827472170171</v>
      </c>
      <c r="I368" s="101">
        <v>48.300461118135203</v>
      </c>
      <c r="J368" s="101">
        <v>6037.557639766901</v>
      </c>
      <c r="K368" s="101">
        <v>1.3589468914507714</v>
      </c>
      <c r="L368" s="102">
        <v>58351830.882910274</v>
      </c>
      <c r="M368" s="101">
        <v>520998.49002598453</v>
      </c>
      <c r="N368" s="101">
        <v>570574.22646088596</v>
      </c>
      <c r="O368" s="103">
        <v>98.309751579372829</v>
      </c>
      <c r="P368" s="101">
        <v>20770453.927653056</v>
      </c>
      <c r="Q368" s="101">
        <v>173087.11606377547</v>
      </c>
      <c r="R368" s="101">
        <v>264381.89776434732</v>
      </c>
      <c r="S368" s="101">
        <v>58.653286119780603</v>
      </c>
      <c r="T368" s="102">
        <v>207136.41359521099</v>
      </c>
      <c r="U368" s="104">
        <v>234651718523.37</v>
      </c>
      <c r="V368" s="70">
        <v>3</v>
      </c>
      <c r="W368" s="70">
        <v>3</v>
      </c>
      <c r="X368" s="70">
        <v>3</v>
      </c>
      <c r="Y368" s="70">
        <v>4</v>
      </c>
      <c r="Z368" s="70">
        <v>4</v>
      </c>
      <c r="AA368" s="71">
        <v>3</v>
      </c>
      <c r="AB368" s="70">
        <v>3</v>
      </c>
      <c r="AC368" s="70">
        <v>4</v>
      </c>
      <c r="AD368" s="70">
        <v>4</v>
      </c>
      <c r="AE368" s="70">
        <v>4</v>
      </c>
      <c r="AF368" s="69">
        <v>3</v>
      </c>
      <c r="AG368" s="70">
        <v>3</v>
      </c>
      <c r="AH368" s="70">
        <v>3</v>
      </c>
      <c r="AI368" s="70">
        <v>4</v>
      </c>
      <c r="AJ368" s="70">
        <v>4</v>
      </c>
      <c r="AK368" s="78">
        <v>225.08222240396498</v>
      </c>
      <c r="AL368" s="106">
        <v>185.33104911176829</v>
      </c>
      <c r="AM368" s="107">
        <v>153.70453672982711</v>
      </c>
      <c r="AN368" s="108">
        <v>113.95336343763044</v>
      </c>
      <c r="AO368" s="70" t="str">
        <f>IF(head!$F$82="S460","a","c")</f>
        <v>c</v>
      </c>
      <c r="AP368" s="70">
        <f t="shared" si="42"/>
        <v>0.49</v>
      </c>
      <c r="AQ368" s="72">
        <f>IF(head!F$82="S235",235,IF(head!F$82="S275",275,IF(head!F$82="S355",355,IF(head!F$82="S420",420,460))))^0.5*head!$G$70*1000/(S368*3.1416*210000^0.5)</f>
        <v>2.2313170906440578</v>
      </c>
      <c r="AR368" s="72">
        <f t="shared" si="50"/>
        <v>3.4870606667079258</v>
      </c>
      <c r="AS368" s="72">
        <f t="shared" si="51"/>
        <v>0.16215957234888123</v>
      </c>
      <c r="AT368" s="52">
        <f>IF(head!F$82="S235",235,IF(head!F$82="S275",275,IF(head!F$82="S355",355,IF(head!F$82="S420",420,460))))*AS368*J368/1000</f>
        <v>347.56195653819407</v>
      </c>
      <c r="AU368" s="192">
        <f t="shared" si="52"/>
        <v>1713.7630752334137</v>
      </c>
      <c r="AV368" s="52">
        <f>3.1416*1.13*head!$G$66/(1.4*head!$G$67)*((1+3.1416^2*AU368^2/(1.4*head!$G$67*1000)^2*(0.45^2+1))^0.5+3.1416*0.45*database!AU368/(1.4*head!$G$67*1000))</f>
        <v>40.55823266438</v>
      </c>
      <c r="AW368" s="52">
        <f>AV368/(head!$G$66*1000)*(210000*database!P368*81000*database!T368)^0.5</f>
        <v>1097191411.1204784</v>
      </c>
      <c r="AX368" s="105">
        <f>IF(head!$F$82="S235",database!AF368,(IF(head!$F$82="S275",database!AG368,IF(head!$F$82="S355",database!AH368,IF(head!$F$82="S420",database!AI368,database!AJ368)))))</f>
        <v>3</v>
      </c>
      <c r="AY368" s="52">
        <f t="shared" si="53"/>
        <v>520998.49002598453</v>
      </c>
      <c r="AZ368" s="191">
        <f>(AY368*VLOOKUP(head!$F$82,head!$L$1:$M$5,2)/AW368)^0.5</f>
        <v>0.4105737782336904</v>
      </c>
      <c r="BA368" s="77" t="str">
        <f t="shared" si="49"/>
        <v>HEAA 260</v>
      </c>
    </row>
    <row r="369" spans="1:53">
      <c r="A369" s="98" t="s">
        <v>884</v>
      </c>
      <c r="B369" s="62">
        <f t="shared" si="39"/>
        <v>457.07634365338919</v>
      </c>
      <c r="C369" s="99">
        <v>244</v>
      </c>
      <c r="D369" s="99">
        <v>260</v>
      </c>
      <c r="E369" s="126">
        <v>6.5</v>
      </c>
      <c r="F369" s="99">
        <v>9.5</v>
      </c>
      <c r="G369" s="99">
        <v>24</v>
      </c>
      <c r="H369" s="100">
        <v>54.14099965752839</v>
      </c>
      <c r="I369" s="101">
        <v>55.175541052258232</v>
      </c>
      <c r="J369" s="101">
        <v>6896.9426315322789</v>
      </c>
      <c r="K369" s="101">
        <v>1.47379644737231</v>
      </c>
      <c r="L369" s="102">
        <v>79805655.581425995</v>
      </c>
      <c r="M369" s="101">
        <v>654144.71788054099</v>
      </c>
      <c r="N369" s="101">
        <v>714454.79789060669</v>
      </c>
      <c r="O369" s="103">
        <v>107.56934594729421</v>
      </c>
      <c r="P369" s="101">
        <v>27880490.1809345</v>
      </c>
      <c r="Q369" s="101">
        <v>214465.30908411153</v>
      </c>
      <c r="R369" s="101">
        <v>327734.12420925457</v>
      </c>
      <c r="S369" s="101">
        <v>63.580200882591221</v>
      </c>
      <c r="T369" s="102">
        <v>273889.38004630298</v>
      </c>
      <c r="U369" s="104">
        <v>374187682761.112</v>
      </c>
      <c r="V369" s="70">
        <v>3</v>
      </c>
      <c r="W369" s="70">
        <v>3</v>
      </c>
      <c r="X369" s="70">
        <v>3</v>
      </c>
      <c r="Y369" s="70">
        <v>4</v>
      </c>
      <c r="Z369" s="70">
        <v>4</v>
      </c>
      <c r="AA369" s="71">
        <v>3</v>
      </c>
      <c r="AB369" s="70">
        <v>3</v>
      </c>
      <c r="AC369" s="70">
        <v>4</v>
      </c>
      <c r="AD369" s="70">
        <v>4</v>
      </c>
      <c r="AE369" s="70">
        <v>4</v>
      </c>
      <c r="AF369" s="69">
        <v>3</v>
      </c>
      <c r="AG369" s="70">
        <v>3</v>
      </c>
      <c r="AH369" s="70">
        <v>3</v>
      </c>
      <c r="AI369" s="70">
        <v>4</v>
      </c>
      <c r="AJ369" s="70">
        <v>4</v>
      </c>
      <c r="AK369" s="78">
        <v>213.688372676065</v>
      </c>
      <c r="AL369" s="106">
        <v>175.99050945022049</v>
      </c>
      <c r="AM369" s="107">
        <v>146.15171589096641</v>
      </c>
      <c r="AN369" s="108">
        <v>108.45385266512191</v>
      </c>
      <c r="AO369" s="70" t="str">
        <f>IF(head!$F$82="S460","a","c")</f>
        <v>c</v>
      </c>
      <c r="AP369" s="70">
        <f t="shared" si="42"/>
        <v>0.49</v>
      </c>
      <c r="AQ369" s="72">
        <f>IF(head!F$82="S235",235,IF(head!F$82="S275",275,IF(head!F$82="S355",355,IF(head!F$82="S420",420,460))))^0.5*head!$G$70*1000/(S369*3.1416*210000^0.5)</f>
        <v>2.0584093463809228</v>
      </c>
      <c r="AR369" s="72">
        <f t="shared" si="50"/>
        <v>3.0738348084974949</v>
      </c>
      <c r="AS369" s="72">
        <f t="shared" si="51"/>
        <v>0.18668257298824023</v>
      </c>
      <c r="AT369" s="52">
        <f>IF(head!F$82="S235",235,IF(head!F$82="S275",275,IF(head!F$82="S355",355,IF(head!F$82="S420",420,460))))*AS369*J369/1000</f>
        <v>457.07634365338919</v>
      </c>
      <c r="AU369" s="192">
        <f t="shared" si="52"/>
        <v>1882.0202207060584</v>
      </c>
      <c r="AV369" s="52">
        <f>3.1416*1.13*head!$G$66/(1.4*head!$G$67)*((1+3.1416^2*AU369^2/(1.4*head!$G$67*1000)^2*(0.45^2+1))^0.5+3.1416*0.45*database!AU369/(1.4*head!$G$67*1000))</f>
        <v>44.026620272397395</v>
      </c>
      <c r="AW369" s="52">
        <f>AV369/(head!$G$66*1000)*(210000*database!P369*81000*database!T369)^0.5</f>
        <v>1586738296.4461982</v>
      </c>
      <c r="AX369" s="105">
        <f>IF(head!$F$82="S235",database!AF369,(IF(head!$F$82="S275",database!AG369,IF(head!$F$82="S355",database!AH369,IF(head!$F$82="S420",database!AI369,database!AJ369)))))</f>
        <v>3</v>
      </c>
      <c r="AY369" s="52">
        <f t="shared" si="53"/>
        <v>654144.71788054099</v>
      </c>
      <c r="AZ369" s="191">
        <f>(AY369*VLOOKUP(head!$F$82,head!$L$1:$M$5,2)/AW369)^0.5</f>
        <v>0.38255901812681381</v>
      </c>
      <c r="BA369" s="77" t="str">
        <f t="shared" si="49"/>
        <v>HEAA 280</v>
      </c>
    </row>
    <row r="370" spans="1:53">
      <c r="A370" s="98" t="s">
        <v>885</v>
      </c>
      <c r="B370" s="62">
        <f t="shared" si="39"/>
        <v>587.99524398021686</v>
      </c>
      <c r="C370" s="99">
        <v>264</v>
      </c>
      <c r="D370" s="99">
        <v>280</v>
      </c>
      <c r="E370" s="126">
        <v>7</v>
      </c>
      <c r="F370" s="99">
        <v>10</v>
      </c>
      <c r="G370" s="99">
        <v>24</v>
      </c>
      <c r="H370" s="100">
        <v>61.249174657528393</v>
      </c>
      <c r="I370" s="101">
        <v>62.419541052258232</v>
      </c>
      <c r="J370" s="101">
        <v>7802.4426315322789</v>
      </c>
      <c r="K370" s="101">
        <v>1.59279644737231</v>
      </c>
      <c r="L370" s="102">
        <v>105579778.77217665</v>
      </c>
      <c r="M370" s="101">
        <v>799846.8088801261</v>
      </c>
      <c r="N370" s="101">
        <v>873059.37789016333</v>
      </c>
      <c r="O370" s="103">
        <v>116.32554120309398</v>
      </c>
      <c r="P370" s="101">
        <v>36642474.979036935</v>
      </c>
      <c r="Q370" s="101">
        <v>261731.96413597811</v>
      </c>
      <c r="R370" s="101">
        <v>399370.17236713762</v>
      </c>
      <c r="S370" s="101">
        <v>68.529428164258476</v>
      </c>
      <c r="T370" s="102">
        <v>329363.822775707</v>
      </c>
      <c r="U370" s="104">
        <v>578700434568.40906</v>
      </c>
      <c r="V370" s="70">
        <v>3</v>
      </c>
      <c r="W370" s="70">
        <v>3</v>
      </c>
      <c r="X370" s="70">
        <v>3</v>
      </c>
      <c r="Y370" s="70">
        <v>4</v>
      </c>
      <c r="Z370" s="70">
        <v>4</v>
      </c>
      <c r="AA370" s="71">
        <v>3</v>
      </c>
      <c r="AB370" s="70">
        <v>4</v>
      </c>
      <c r="AC370" s="70">
        <v>4</v>
      </c>
      <c r="AD370" s="70">
        <v>4</v>
      </c>
      <c r="AE370" s="70">
        <v>4</v>
      </c>
      <c r="AF370" s="69">
        <v>3</v>
      </c>
      <c r="AG370" s="70">
        <v>3</v>
      </c>
      <c r="AH370" s="70">
        <v>3</v>
      </c>
      <c r="AI370" s="70">
        <v>4</v>
      </c>
      <c r="AJ370" s="70">
        <v>4</v>
      </c>
      <c r="AK370" s="78">
        <v>204.14074445549744</v>
      </c>
      <c r="AL370" s="106">
        <v>168.25454660401613</v>
      </c>
      <c r="AM370" s="107">
        <v>139.44351165147032</v>
      </c>
      <c r="AN370" s="108">
        <v>103.55731379998898</v>
      </c>
      <c r="AO370" s="70" t="str">
        <f>IF(head!$F$82="S460","a","c")</f>
        <v>c</v>
      </c>
      <c r="AP370" s="70">
        <f t="shared" si="42"/>
        <v>0.49</v>
      </c>
      <c r="AQ370" s="72">
        <f>IF(head!F$82="S235",235,IF(head!F$82="S275",275,IF(head!F$82="S355",355,IF(head!F$82="S420",420,460))))^0.5*head!$G$70*1000/(S370*3.1416*210000^0.5)</f>
        <v>1.909750062816951</v>
      </c>
      <c r="AR370" s="72">
        <f t="shared" si="50"/>
        <v>2.7424614166048271</v>
      </c>
      <c r="AS370" s="72">
        <f t="shared" si="51"/>
        <v>0.21228283361372335</v>
      </c>
      <c r="AT370" s="52">
        <f>IF(head!F$82="S235",235,IF(head!F$82="S275",275,IF(head!F$82="S355",355,IF(head!F$82="S420",420,460))))*AS370*J370/1000</f>
        <v>587.99524398021686</v>
      </c>
      <c r="AU370" s="192">
        <f t="shared" si="52"/>
        <v>2134.3030983183517</v>
      </c>
      <c r="AV370" s="52">
        <f>3.1416*1.13*head!$G$66/(1.4*head!$G$67)*((1+3.1416^2*AU370^2/(1.4*head!$G$67*1000)^2*(0.45^2+1))^0.5+3.1416*0.45*database!AU370/(1.4*head!$G$67*1000))</f>
        <v>49.288710940790615</v>
      </c>
      <c r="AW370" s="52">
        <f>AV370/(head!$G$66*1000)*(210000*database!P370*81000*database!T370)^0.5</f>
        <v>2233212058.5858955</v>
      </c>
      <c r="AX370" s="105">
        <f>IF(head!$F$82="S235",database!AF370,(IF(head!$F$82="S275",database!AG370,IF(head!$F$82="S355",database!AH370,IF(head!$F$82="S420",database!AI370,database!AJ370)))))</f>
        <v>3</v>
      </c>
      <c r="AY370" s="52">
        <f t="shared" si="53"/>
        <v>799846.8088801261</v>
      </c>
      <c r="AZ370" s="191">
        <f>(AY370*VLOOKUP(head!$F$82,head!$L$1:$M$5,2)/AW370)^0.5</f>
        <v>0.3565764054359134</v>
      </c>
      <c r="BA370" s="77" t="str">
        <f t="shared" si="49"/>
        <v>HEAA 300</v>
      </c>
    </row>
    <row r="371" spans="1:53">
      <c r="A371" s="98" t="s">
        <v>886</v>
      </c>
      <c r="B371" s="62">
        <f t="shared" si="39"/>
        <v>744.5595759806838</v>
      </c>
      <c r="C371" s="99">
        <v>283</v>
      </c>
      <c r="D371" s="99">
        <v>300</v>
      </c>
      <c r="E371" s="126">
        <v>7.5</v>
      </c>
      <c r="F371" s="99">
        <v>10.5</v>
      </c>
      <c r="G371" s="99">
        <v>27</v>
      </c>
      <c r="H371" s="100">
        <v>69.792614800934359</v>
      </c>
      <c r="I371" s="101">
        <v>71.126231644264323</v>
      </c>
      <c r="J371" s="101">
        <v>8890.7789555330401</v>
      </c>
      <c r="K371" s="101">
        <v>1.7046460032938489</v>
      </c>
      <c r="L371" s="102">
        <v>138040926.39769128</v>
      </c>
      <c r="M371" s="101">
        <v>975554.25016036246</v>
      </c>
      <c r="N371" s="101">
        <v>1065285.5113754363</v>
      </c>
      <c r="O371" s="103">
        <v>124.60458588348402</v>
      </c>
      <c r="P371" s="101">
        <v>47335116.26578711</v>
      </c>
      <c r="Q371" s="101">
        <v>315567.44177191408</v>
      </c>
      <c r="R371" s="101">
        <v>482305.077882641</v>
      </c>
      <c r="S371" s="101">
        <v>72.966214852609014</v>
      </c>
      <c r="T371" s="102">
        <v>435358.03574014897</v>
      </c>
      <c r="U371" s="104">
        <v>858765050608.39099</v>
      </c>
      <c r="V371" s="70">
        <v>3</v>
      </c>
      <c r="W371" s="70">
        <v>3</v>
      </c>
      <c r="X371" s="70">
        <v>3</v>
      </c>
      <c r="Y371" s="70">
        <v>4</v>
      </c>
      <c r="Z371" s="70">
        <v>4</v>
      </c>
      <c r="AA371" s="71">
        <v>3</v>
      </c>
      <c r="AB371" s="70">
        <v>4</v>
      </c>
      <c r="AC371" s="70">
        <v>4</v>
      </c>
      <c r="AD371" s="70">
        <v>4</v>
      </c>
      <c r="AE371" s="70">
        <v>4</v>
      </c>
      <c r="AF371" s="69">
        <v>3</v>
      </c>
      <c r="AG371" s="70">
        <v>3</v>
      </c>
      <c r="AH371" s="70">
        <v>3</v>
      </c>
      <c r="AI371" s="70">
        <v>4</v>
      </c>
      <c r="AJ371" s="70">
        <v>4</v>
      </c>
      <c r="AK371" s="78">
        <v>191.731906936342</v>
      </c>
      <c r="AL371" s="106">
        <v>157.98908175753138</v>
      </c>
      <c r="AM371" s="107">
        <v>131.14711386164402</v>
      </c>
      <c r="AN371" s="108">
        <v>97.404288682833382</v>
      </c>
      <c r="AO371" s="70" t="str">
        <f>IF(head!$F$82="S460","a","c")</f>
        <v>c</v>
      </c>
      <c r="AP371" s="70">
        <f t="shared" si="42"/>
        <v>0.49</v>
      </c>
      <c r="AQ371" s="72">
        <f>IF(head!F$82="S235",235,IF(head!F$82="S275",275,IF(head!F$82="S355",355,IF(head!F$82="S420",420,460))))^0.5*head!$G$70*1000/(S371*3.1416*210000^0.5)</f>
        <v>1.7936257212446418</v>
      </c>
      <c r="AR371" s="72">
        <f t="shared" si="50"/>
        <v>2.498984915660118</v>
      </c>
      <c r="AS371" s="72">
        <f t="shared" si="51"/>
        <v>0.23590181791103837</v>
      </c>
      <c r="AT371" s="52">
        <f>IF(head!F$82="S235",235,IF(head!F$82="S275",275,IF(head!F$82="S355",355,IF(head!F$82="S420",420,460))))*AS371*J371/1000</f>
        <v>744.5595759806838</v>
      </c>
      <c r="AU371" s="192">
        <f t="shared" si="52"/>
        <v>2261.4189973693447</v>
      </c>
      <c r="AV371" s="52">
        <f>3.1416*1.13*head!$G$66/(1.4*head!$G$67)*((1+3.1416^2*AU371^2/(1.4*head!$G$67*1000)^2*(0.45^2+1))^0.5+3.1416*0.45*database!AU371/(1.4*head!$G$67*1000))</f>
        <v>51.962184757380037</v>
      </c>
      <c r="AW371" s="52">
        <f>AV371/(head!$G$66*1000)*(210000*database!P371*81000*database!T371)^0.5</f>
        <v>3076483329.6340046</v>
      </c>
      <c r="AX371" s="105">
        <f>IF(head!$F$82="S235",database!AF371,(IF(head!$F$82="S275",database!AG371,IF(head!$F$82="S355",database!AH371,IF(head!$F$82="S420",database!AI371,database!AJ371)))))</f>
        <v>3</v>
      </c>
      <c r="AY371" s="52">
        <f t="shared" si="53"/>
        <v>975554.25016036246</v>
      </c>
      <c r="AZ371" s="191">
        <f>(AY371*VLOOKUP(head!$F$82,head!$L$1:$M$5,2)/AW371)^0.5</f>
        <v>0.33551551375619132</v>
      </c>
      <c r="BA371" s="77" t="str">
        <f t="shared" si="49"/>
        <v>HEAA 320</v>
      </c>
    </row>
    <row r="372" spans="1:53">
      <c r="A372" s="98" t="s">
        <v>887</v>
      </c>
      <c r="B372" s="62">
        <f t="shared" si="39"/>
        <v>782.02575474843525</v>
      </c>
      <c r="C372" s="99">
        <v>301</v>
      </c>
      <c r="D372" s="99">
        <v>300</v>
      </c>
      <c r="E372" s="126">
        <v>8</v>
      </c>
      <c r="F372" s="99">
        <v>11</v>
      </c>
      <c r="G372" s="99">
        <v>27</v>
      </c>
      <c r="H372" s="100">
        <v>74.243564800934365</v>
      </c>
      <c r="I372" s="101">
        <v>75.662231644264324</v>
      </c>
      <c r="J372" s="101">
        <v>9457.7789555330401</v>
      </c>
      <c r="K372" s="101">
        <v>1.739646003293849</v>
      </c>
      <c r="L372" s="102">
        <v>164473636.12061092</v>
      </c>
      <c r="M372" s="101">
        <v>1092848.0805356207</v>
      </c>
      <c r="N372" s="101">
        <v>1196204.1324974671</v>
      </c>
      <c r="O372" s="103">
        <v>131.87229582231811</v>
      </c>
      <c r="P372" s="101">
        <v>49590908.790913157</v>
      </c>
      <c r="Q372" s="101">
        <v>330606.05860608764</v>
      </c>
      <c r="R372" s="101">
        <v>505741.14762152423</v>
      </c>
      <c r="S372" s="101">
        <v>72.411318229576267</v>
      </c>
      <c r="T372" s="102">
        <v>495178.07868928299</v>
      </c>
      <c r="U372" s="104">
        <v>1019909793982.38</v>
      </c>
      <c r="V372" s="70">
        <v>3</v>
      </c>
      <c r="W372" s="70">
        <v>3</v>
      </c>
      <c r="X372" s="70">
        <v>3</v>
      </c>
      <c r="Y372" s="70">
        <v>4</v>
      </c>
      <c r="Z372" s="70">
        <v>4</v>
      </c>
      <c r="AA372" s="71">
        <v>3</v>
      </c>
      <c r="AB372" s="70">
        <v>3</v>
      </c>
      <c r="AC372" s="70">
        <v>4</v>
      </c>
      <c r="AD372" s="70">
        <v>4</v>
      </c>
      <c r="AE372" s="70">
        <v>4</v>
      </c>
      <c r="AF372" s="69">
        <v>3</v>
      </c>
      <c r="AG372" s="70">
        <v>3</v>
      </c>
      <c r="AH372" s="70">
        <v>3</v>
      </c>
      <c r="AI372" s="70">
        <v>4</v>
      </c>
      <c r="AJ372" s="70">
        <v>4</v>
      </c>
      <c r="AK372" s="78">
        <v>183.93811184137604</v>
      </c>
      <c r="AL372" s="106">
        <v>152.21819097935457</v>
      </c>
      <c r="AM372" s="107">
        <v>127.09114958716597</v>
      </c>
      <c r="AN372" s="108">
        <v>95.371228725144519</v>
      </c>
      <c r="AO372" s="70" t="str">
        <f>IF(head!$F$82="S460","a","c")</f>
        <v>c</v>
      </c>
      <c r="AP372" s="70">
        <f t="shared" si="42"/>
        <v>0.49</v>
      </c>
      <c r="AQ372" s="72">
        <f>IF(head!F$82="S235",235,IF(head!F$82="S275",275,IF(head!F$82="S355",355,IF(head!F$82="S420",420,460))))^0.5*head!$G$70*1000/(S372*3.1416*210000^0.5)</f>
        <v>1.8073704904331804</v>
      </c>
      <c r="AR372" s="72">
        <f t="shared" si="50"/>
        <v>2.5270998150004669</v>
      </c>
      <c r="AS372" s="72">
        <f t="shared" si="51"/>
        <v>0.23291826340547386</v>
      </c>
      <c r="AT372" s="52">
        <f>IF(head!F$82="S235",235,IF(head!F$82="S275",275,IF(head!F$82="S355",355,IF(head!F$82="S420",420,460))))*AS372*J372/1000</f>
        <v>782.02575474843525</v>
      </c>
      <c r="AU372" s="192">
        <f t="shared" si="52"/>
        <v>2310.8263646339428</v>
      </c>
      <c r="AV372" s="52">
        <f>3.1416*1.13*head!$G$66/(1.4*head!$G$67)*((1+3.1416^2*AU372^2/(1.4*head!$G$67*1000)^2*(0.45^2+1))^0.5+3.1416*0.45*database!AU372/(1.4*head!$G$67*1000))</f>
        <v>53.004652740792245</v>
      </c>
      <c r="AW372" s="52">
        <f>AV372/(head!$G$66*1000)*(210000*database!P372*81000*database!T372)^0.5</f>
        <v>3425688653.1002884</v>
      </c>
      <c r="AX372" s="105">
        <f>IF(head!$F$82="S235",database!AF372,(IF(head!$F$82="S275",database!AG372,IF(head!$F$82="S355",database!AH372,IF(head!$F$82="S420",database!AI372,database!AJ372)))))</f>
        <v>3</v>
      </c>
      <c r="AY372" s="52">
        <f t="shared" si="53"/>
        <v>1092848.0805356207</v>
      </c>
      <c r="AZ372" s="191">
        <f>(AY372*VLOOKUP(head!$F$82,head!$L$1:$M$5,2)/AW372)^0.5</f>
        <v>0.3365271665084848</v>
      </c>
      <c r="BA372" s="77" t="str">
        <f t="shared" si="49"/>
        <v>HEAA 340</v>
      </c>
    </row>
    <row r="373" spans="1:53">
      <c r="A373" s="98" t="s">
        <v>888</v>
      </c>
      <c r="B373" s="62">
        <f t="shared" si="39"/>
        <v>819.7962100382266</v>
      </c>
      <c r="C373" s="99">
        <v>320</v>
      </c>
      <c r="D373" s="99">
        <v>300</v>
      </c>
      <c r="E373" s="126">
        <v>8.5</v>
      </c>
      <c r="F373" s="99">
        <v>11.5</v>
      </c>
      <c r="G373" s="99">
        <v>27</v>
      </c>
      <c r="H373" s="100">
        <v>78.894689800934358</v>
      </c>
      <c r="I373" s="101">
        <v>80.402231644264319</v>
      </c>
      <c r="J373" s="101">
        <v>10050.27895553304</v>
      </c>
      <c r="K373" s="101">
        <v>1.7766460032938489</v>
      </c>
      <c r="L373" s="102">
        <v>195522889.9759635</v>
      </c>
      <c r="M373" s="101">
        <v>1222018.0623497718</v>
      </c>
      <c r="N373" s="101">
        <v>1340923.2680972645</v>
      </c>
      <c r="O373" s="103">
        <v>139.47929572022031</v>
      </c>
      <c r="P373" s="101">
        <v>51847382.069658637</v>
      </c>
      <c r="Q373" s="101">
        <v>345649.21379772422</v>
      </c>
      <c r="R373" s="101">
        <v>529298.15486040746</v>
      </c>
      <c r="S373" s="101">
        <v>71.82478888160918</v>
      </c>
      <c r="T373" s="102">
        <v>561458.51334433304</v>
      </c>
      <c r="U373" s="104">
        <v>1207766351731.02</v>
      </c>
      <c r="V373" s="70">
        <v>3</v>
      </c>
      <c r="W373" s="70">
        <v>3</v>
      </c>
      <c r="X373" s="70">
        <v>3</v>
      </c>
      <c r="Y373" s="70">
        <v>3</v>
      </c>
      <c r="Z373" s="70">
        <v>4</v>
      </c>
      <c r="AA373" s="71">
        <v>3</v>
      </c>
      <c r="AB373" s="70">
        <v>3</v>
      </c>
      <c r="AC373" s="70">
        <v>4</v>
      </c>
      <c r="AD373" s="70">
        <v>4</v>
      </c>
      <c r="AE373" s="70">
        <v>4</v>
      </c>
      <c r="AF373" s="69">
        <v>3</v>
      </c>
      <c r="AG373" s="70">
        <v>3</v>
      </c>
      <c r="AH373" s="70">
        <v>3</v>
      </c>
      <c r="AI373" s="70">
        <v>3</v>
      </c>
      <c r="AJ373" s="70">
        <v>4</v>
      </c>
      <c r="AK373" s="78">
        <v>176.77579012030722</v>
      </c>
      <c r="AL373" s="106">
        <v>146.92587238893526</v>
      </c>
      <c r="AM373" s="107">
        <v>123.37965995633738</v>
      </c>
      <c r="AN373" s="108">
        <v>93.529742224965418</v>
      </c>
      <c r="AO373" s="70" t="str">
        <f>IF(head!$F$82="S460","a","c")</f>
        <v>c</v>
      </c>
      <c r="AP373" s="70">
        <f t="shared" si="42"/>
        <v>0.49</v>
      </c>
      <c r="AQ373" s="72">
        <f>IF(head!F$82="S235",235,IF(head!F$82="S275",275,IF(head!F$82="S355",355,IF(head!F$82="S420",420,460))))^0.5*head!$G$70*1000/(S373*3.1416*210000^0.5)</f>
        <v>1.8221296822358335</v>
      </c>
      <c r="AR373" s="72">
        <f t="shared" si="50"/>
        <v>2.557500061590209</v>
      </c>
      <c r="AS373" s="72">
        <f t="shared" si="51"/>
        <v>0.22977323404818384</v>
      </c>
      <c r="AT373" s="52">
        <f>IF(head!F$82="S235",235,IF(head!F$82="S275",275,IF(head!F$82="S355",355,IF(head!F$82="S420",420,460))))*AS373*J373/1000</f>
        <v>819.7962100382266</v>
      </c>
      <c r="AU373" s="192">
        <f t="shared" si="52"/>
        <v>2361.5642474184237</v>
      </c>
      <c r="AV373" s="52">
        <f>3.1416*1.13*head!$G$66/(1.4*head!$G$67)*((1+3.1416^2*AU373^2/(1.4*head!$G$67*1000)^2*(0.45^2+1))^0.5+3.1416*0.45*database!AU373/(1.4*head!$G$67*1000))</f>
        <v>54.076974685726334</v>
      </c>
      <c r="AW373" s="52">
        <f>AV373/(head!$G$66*1000)*(210000*database!P373*81000*database!T373)^0.5</f>
        <v>3805281554.2135763</v>
      </c>
      <c r="AX373" s="105">
        <f>IF(head!$F$82="S235",database!AF373,(IF(head!$F$82="S275",database!AG373,IF(head!$F$82="S355",database!AH373,IF(head!$F$82="S420",database!AI373,database!AJ373)))))</f>
        <v>3</v>
      </c>
      <c r="AY373" s="52">
        <f t="shared" si="53"/>
        <v>1222018.0623497718</v>
      </c>
      <c r="AZ373" s="191">
        <f>(AY373*VLOOKUP(head!$F$82,head!$L$1:$M$5,2)/AW373)^0.5</f>
        <v>0.33764443111735226</v>
      </c>
      <c r="BA373" s="77" t="str">
        <f t="shared" si="49"/>
        <v>HEAA 360</v>
      </c>
    </row>
    <row r="374" spans="1:53">
      <c r="A374" s="98" t="s">
        <v>889</v>
      </c>
      <c r="B374" s="62">
        <f t="shared" si="39"/>
        <v>857.75703911929747</v>
      </c>
      <c r="C374" s="99">
        <v>339</v>
      </c>
      <c r="D374" s="99">
        <v>300</v>
      </c>
      <c r="E374" s="126">
        <v>9</v>
      </c>
      <c r="F374" s="99">
        <v>12</v>
      </c>
      <c r="G374" s="99">
        <v>27</v>
      </c>
      <c r="H374" s="100">
        <v>83.687114800934353</v>
      </c>
      <c r="I374" s="101">
        <v>85.286231644264319</v>
      </c>
      <c r="J374" s="101">
        <v>10660.77895553304</v>
      </c>
      <c r="K374" s="101">
        <v>1.8136460032938488</v>
      </c>
      <c r="L374" s="102">
        <v>230373715.52211246</v>
      </c>
      <c r="M374" s="101">
        <v>1359136.9647322269</v>
      </c>
      <c r="N374" s="101">
        <v>1495242.4036970618</v>
      </c>
      <c r="O374" s="103">
        <v>147.00157709675295</v>
      </c>
      <c r="P374" s="101">
        <v>54104574.633273557</v>
      </c>
      <c r="Q374" s="101">
        <v>360697.16422182374</v>
      </c>
      <c r="R374" s="101">
        <v>552968.78709929076</v>
      </c>
      <c r="S374" s="101">
        <v>71.239772546630164</v>
      </c>
      <c r="T374" s="102">
        <v>634520.07641808596</v>
      </c>
      <c r="U374" s="104">
        <v>1417122793867.4199</v>
      </c>
      <c r="V374" s="70">
        <v>2</v>
      </c>
      <c r="W374" s="70">
        <v>3</v>
      </c>
      <c r="X374" s="70">
        <v>3</v>
      </c>
      <c r="Y374" s="70">
        <v>3</v>
      </c>
      <c r="Z374" s="70">
        <v>3</v>
      </c>
      <c r="AA374" s="71">
        <v>3</v>
      </c>
      <c r="AB374" s="70">
        <v>3</v>
      </c>
      <c r="AC374" s="70">
        <v>4</v>
      </c>
      <c r="AD374" s="70">
        <v>4</v>
      </c>
      <c r="AE374" s="70">
        <v>4</v>
      </c>
      <c r="AF374" s="69">
        <v>2</v>
      </c>
      <c r="AG374" s="70">
        <v>3</v>
      </c>
      <c r="AH374" s="70">
        <v>3</v>
      </c>
      <c r="AI374" s="70">
        <v>3</v>
      </c>
      <c r="AJ374" s="70">
        <v>3</v>
      </c>
      <c r="AK374" s="78">
        <v>170.12321621700545</v>
      </c>
      <c r="AL374" s="106">
        <v>141.98268340497324</v>
      </c>
      <c r="AM374" s="107">
        <v>119.87866977925722</v>
      </c>
      <c r="AN374" s="108">
        <v>91.738136967225003</v>
      </c>
      <c r="AO374" s="70" t="str">
        <f>IF(head!$F$82="S460","a","c")</f>
        <v>c</v>
      </c>
      <c r="AP374" s="70">
        <f t="shared" si="42"/>
        <v>0.49</v>
      </c>
      <c r="AQ374" s="72">
        <f>IF(head!F$82="S235",235,IF(head!F$82="S275",275,IF(head!F$82="S355",355,IF(head!F$82="S420",420,460))))^0.5*head!$G$70*1000/(S374*3.1416*210000^0.5)</f>
        <v>1.8370928915563058</v>
      </c>
      <c r="AR374" s="72">
        <f t="shared" si="50"/>
        <v>2.5885429045346493</v>
      </c>
      <c r="AS374" s="72">
        <f t="shared" si="51"/>
        <v>0.22664544698674355</v>
      </c>
      <c r="AT374" s="52">
        <f>IF(head!F$82="S235",235,IF(head!F$82="S275",275,IF(head!F$82="S355",355,IF(head!F$82="S420",420,460))))*AS374*J374/1000</f>
        <v>857.75703911929747</v>
      </c>
      <c r="AU374" s="192">
        <f t="shared" si="52"/>
        <v>2406.2912717915319</v>
      </c>
      <c r="AV374" s="52">
        <f>3.1416*1.13*head!$G$66/(1.4*head!$G$67)*((1+3.1416^2*AU374^2/(1.4*head!$G$67*1000)^2*(0.45^2+1))^0.5+3.1416*0.45*database!AU374/(1.4*head!$G$67*1000))</f>
        <v>55.023675756751096</v>
      </c>
      <c r="AW374" s="52">
        <f>AV374/(head!$G$66*1000)*(210000*database!P374*81000*database!T374)^0.5</f>
        <v>4204762143.5913496</v>
      </c>
      <c r="AX374" s="105">
        <f>IF(head!$F$82="S235",database!AF374,(IF(head!$F$82="S275",database!AG374,IF(head!$F$82="S355",database!AH374,IF(head!$F$82="S420",database!AI374,database!AJ374)))))</f>
        <v>3</v>
      </c>
      <c r="AY374" s="52">
        <f t="shared" si="53"/>
        <v>1359136.9647322269</v>
      </c>
      <c r="AZ374" s="191">
        <f>(AY374*VLOOKUP(head!$F$82,head!$L$1:$M$5,2)/AW374)^0.5</f>
        <v>0.3387466990568172</v>
      </c>
      <c r="BA374" s="77" t="str">
        <f t="shared" si="49"/>
        <v>HEAA 400</v>
      </c>
    </row>
    <row r="375" spans="1:53">
      <c r="A375" s="98" t="s">
        <v>890</v>
      </c>
      <c r="B375" s="62">
        <f t="shared" si="39"/>
        <v>999.86203303741581</v>
      </c>
      <c r="C375" s="99">
        <v>378</v>
      </c>
      <c r="D375" s="99">
        <v>300</v>
      </c>
      <c r="E375" s="126">
        <v>9.5</v>
      </c>
      <c r="F375" s="99">
        <v>13</v>
      </c>
      <c r="G375" s="99">
        <v>27</v>
      </c>
      <c r="H375" s="100">
        <v>92.392764800934359</v>
      </c>
      <c r="I375" s="101">
        <v>94.158231644264319</v>
      </c>
      <c r="J375" s="101">
        <v>11769.77895553304</v>
      </c>
      <c r="K375" s="101">
        <v>1.890646003293849</v>
      </c>
      <c r="L375" s="102">
        <v>312520984.47310156</v>
      </c>
      <c r="M375" s="101">
        <v>1653550.1823973628</v>
      </c>
      <c r="N375" s="101">
        <v>1824135.0643744231</v>
      </c>
      <c r="O375" s="103">
        <v>162.95040288488991</v>
      </c>
      <c r="P375" s="101">
        <v>58613922.179674588</v>
      </c>
      <c r="Q375" s="101">
        <v>390759.48119783058</v>
      </c>
      <c r="R375" s="101">
        <v>599688.48183817405</v>
      </c>
      <c r="S375" s="101">
        <v>70.569369686134934</v>
      </c>
      <c r="T375" s="102">
        <v>778472.08054003003</v>
      </c>
      <c r="U375" s="104">
        <v>1916240943522.25</v>
      </c>
      <c r="V375" s="70">
        <v>2</v>
      </c>
      <c r="W375" s="70">
        <v>2</v>
      </c>
      <c r="X375" s="70">
        <v>3</v>
      </c>
      <c r="Y375" s="70">
        <v>3</v>
      </c>
      <c r="Z375" s="70">
        <v>4</v>
      </c>
      <c r="AA375" s="71">
        <v>3</v>
      </c>
      <c r="AB375" s="70">
        <v>3</v>
      </c>
      <c r="AC375" s="70">
        <v>4</v>
      </c>
      <c r="AD375" s="70">
        <v>4</v>
      </c>
      <c r="AE375" s="70">
        <v>4</v>
      </c>
      <c r="AF375" s="69">
        <v>2</v>
      </c>
      <c r="AG375" s="70">
        <v>2</v>
      </c>
      <c r="AH375" s="70">
        <v>3</v>
      </c>
      <c r="AI375" s="70">
        <v>3</v>
      </c>
      <c r="AJ375" s="70">
        <v>3</v>
      </c>
      <c r="AK375" s="78">
        <v>160.63564238859774</v>
      </c>
      <c r="AL375" s="106">
        <v>135.14663353520987</v>
      </c>
      <c r="AM375" s="107">
        <v>115.21032001731321</v>
      </c>
      <c r="AN375" s="108">
        <v>89.721311163925336</v>
      </c>
      <c r="AO375" s="70" t="str">
        <f>IF(head!$F$82="S460","a0","b")</f>
        <v>b</v>
      </c>
      <c r="AP375" s="70">
        <f t="shared" si="42"/>
        <v>0.34</v>
      </c>
      <c r="AQ375" s="72">
        <f>IF(head!F$82="S235",235,IF(head!F$82="S275",275,IF(head!F$82="S355",355,IF(head!F$82="S420",420,460))))^0.5*head!$G$70*1000/(S375*3.1416*210000^0.5)</f>
        <v>1.8545451138869353</v>
      </c>
      <c r="AR375" s="72">
        <f t="shared" si="50"/>
        <v>2.5009414590817318</v>
      </c>
      <c r="AS375" s="72">
        <f t="shared" si="51"/>
        <v>0.23930039635922157</v>
      </c>
      <c r="AT375" s="52">
        <f>IF(head!F$82="S235",235,IF(head!F$82="S275",275,IF(head!F$82="S355",355,IF(head!F$82="S420",420,460))))*AS375*J375/1000</f>
        <v>999.86203303741581</v>
      </c>
      <c r="AU375" s="192">
        <f t="shared" si="52"/>
        <v>2526.2171250090032</v>
      </c>
      <c r="AV375" s="52">
        <f>3.1416*1.13*head!$G$66/(1.4*head!$G$67)*((1+3.1416^2*AU375^2/(1.4*head!$G$67*1000)^2*(0.45^2+1))^0.5+3.1416*0.45*database!AU375/(1.4*head!$G$67*1000))</f>
        <v>57.568094497633005</v>
      </c>
      <c r="AW375" s="52">
        <f>AV375/(head!$G$66*1000)*(210000*database!P375*81000*database!T375)^0.5</f>
        <v>5071727647.0445967</v>
      </c>
      <c r="AX375" s="105">
        <f>IF(head!$F$82="S235",database!AF375,(IF(head!$F$82="S275",database!AG375,IF(head!$F$82="S355",database!AH375,IF(head!$F$82="S420",database!AI375,database!AJ375)))))</f>
        <v>3</v>
      </c>
      <c r="AY375" s="52">
        <f t="shared" si="53"/>
        <v>1653550.1823973628</v>
      </c>
      <c r="AZ375" s="191">
        <f>(AY375*VLOOKUP(head!$F$82,head!$L$1:$M$5,2)/AW375)^0.5</f>
        <v>0.34020829968275917</v>
      </c>
      <c r="BA375" s="77" t="str">
        <f t="shared" si="49"/>
        <v>HEAA 450</v>
      </c>
    </row>
    <row r="376" spans="1:53">
      <c r="A376" s="98" t="s">
        <v>891</v>
      </c>
      <c r="B376" s="62">
        <f t="shared" si="39"/>
        <v>1043.4366533155132</v>
      </c>
      <c r="C376" s="99">
        <v>425</v>
      </c>
      <c r="D376" s="99">
        <v>300</v>
      </c>
      <c r="E376" s="126">
        <v>10</v>
      </c>
      <c r="F376" s="99">
        <v>13.5</v>
      </c>
      <c r="G376" s="99">
        <v>27</v>
      </c>
      <c r="H376" s="100">
        <v>99.740364800934358</v>
      </c>
      <c r="I376" s="101">
        <v>101.64623164426432</v>
      </c>
      <c r="J376" s="101">
        <v>12705.77895553304</v>
      </c>
      <c r="K376" s="101">
        <v>1.983646003293849</v>
      </c>
      <c r="L376" s="102">
        <v>418876359.50180203</v>
      </c>
      <c r="M376" s="101">
        <v>1971182.8682437742</v>
      </c>
      <c r="N376" s="101">
        <v>2183340.9803516828</v>
      </c>
      <c r="O376" s="103">
        <v>181.56924069726935</v>
      </c>
      <c r="P376" s="101">
        <v>60875351.531778395</v>
      </c>
      <c r="Q376" s="101">
        <v>405835.67687852262</v>
      </c>
      <c r="R376" s="101">
        <v>624352.92657705722</v>
      </c>
      <c r="S376" s="101">
        <v>69.218166828350689</v>
      </c>
      <c r="T376" s="102">
        <v>881052.88124614395</v>
      </c>
      <c r="U376" s="104">
        <v>2533748736036.3701</v>
      </c>
      <c r="V376" s="70">
        <v>2</v>
      </c>
      <c r="W376" s="70">
        <v>2</v>
      </c>
      <c r="X376" s="70">
        <v>4</v>
      </c>
      <c r="Y376" s="70">
        <v>4</v>
      </c>
      <c r="Z376" s="70">
        <v>4</v>
      </c>
      <c r="AA376" s="71">
        <v>3</v>
      </c>
      <c r="AB376" s="70">
        <v>4</v>
      </c>
      <c r="AC376" s="70">
        <v>4</v>
      </c>
      <c r="AD376" s="70">
        <v>4</v>
      </c>
      <c r="AE376" s="70">
        <v>4</v>
      </c>
      <c r="AF376" s="69">
        <v>1</v>
      </c>
      <c r="AG376" s="70">
        <v>2</v>
      </c>
      <c r="AH376" s="70">
        <v>3</v>
      </c>
      <c r="AI376" s="70">
        <v>3</v>
      </c>
      <c r="AJ376" s="70">
        <v>3</v>
      </c>
      <c r="AK376" s="78">
        <v>156.12155777588293</v>
      </c>
      <c r="AL376" s="106">
        <v>132.5102545216769</v>
      </c>
      <c r="AM376" s="107">
        <v>114.1212990619959</v>
      </c>
      <c r="AN376" s="108">
        <v>90.509995807789863</v>
      </c>
      <c r="AO376" s="70" t="str">
        <f>IF(head!$F$82="S460","a0","b")</f>
        <v>b</v>
      </c>
      <c r="AP376" s="70">
        <f t="shared" si="42"/>
        <v>0.34</v>
      </c>
      <c r="AQ376" s="72">
        <f>IF(head!F$82="S235",235,IF(head!F$82="S275",275,IF(head!F$82="S355",355,IF(head!F$82="S420",420,460))))^0.5*head!$G$70*1000/(S376*3.1416*210000^0.5)</f>
        <v>1.89074755571103</v>
      </c>
      <c r="AR376" s="72">
        <f t="shared" si="50"/>
        <v>2.5748902441844921</v>
      </c>
      <c r="AS376" s="72">
        <f t="shared" si="51"/>
        <v>0.23133238730503705</v>
      </c>
      <c r="AT376" s="52">
        <f>IF(head!F$82="S235",235,IF(head!F$82="S275",275,IF(head!F$82="S355",355,IF(head!F$82="S420",420,460))))*AS376*J376/1000</f>
        <v>1043.4366533155132</v>
      </c>
      <c r="AU376" s="192">
        <f t="shared" si="52"/>
        <v>2730.5360994818475</v>
      </c>
      <c r="AV376" s="52">
        <f>3.1416*1.13*head!$G$66/(1.4*head!$G$67)*((1+3.1416^2*AU376^2/(1.4*head!$G$67*1000)^2*(0.45^2+1))^0.5+3.1416*0.45*database!AU376/(1.4*head!$G$67*1000))</f>
        <v>61.920828939943611</v>
      </c>
      <c r="AW376" s="52">
        <f>AV376/(head!$G$66*1000)*(210000*database!P376*81000*database!T376)^0.5</f>
        <v>5914399376.473731</v>
      </c>
      <c r="AX376" s="105">
        <f>IF(head!$F$82="S235",database!AF376,(IF(head!$F$82="S275",database!AG376,IF(head!$F$82="S355",database!AH376,IF(head!$F$82="S420",database!AI376,database!AJ376)))))</f>
        <v>3</v>
      </c>
      <c r="AY376" s="52">
        <f t="shared" si="53"/>
        <v>1971182.8682437742</v>
      </c>
      <c r="AZ376" s="191">
        <f>(AY376*VLOOKUP(head!$F$82,head!$L$1:$M$5,2)/AW376)^0.5</f>
        <v>0.34397138162295315</v>
      </c>
      <c r="BA376" s="77" t="str">
        <f t="shared" si="49"/>
        <v>HEAA 500</v>
      </c>
    </row>
    <row r="377" spans="1:53">
      <c r="A377" s="98" t="s">
        <v>892</v>
      </c>
      <c r="B377" s="62">
        <f t="shared" si="39"/>
        <v>1087.1630762226639</v>
      </c>
      <c r="C377" s="99">
        <v>472</v>
      </c>
      <c r="D377" s="99">
        <v>300</v>
      </c>
      <c r="E377" s="126">
        <v>10.5</v>
      </c>
      <c r="F377" s="99">
        <v>14</v>
      </c>
      <c r="G377" s="99">
        <v>27</v>
      </c>
      <c r="H377" s="100">
        <v>107.44906480093437</v>
      </c>
      <c r="I377" s="101">
        <v>109.50223164426433</v>
      </c>
      <c r="J377" s="101">
        <v>13687.77895553304</v>
      </c>
      <c r="K377" s="101">
        <v>2.076646003293849</v>
      </c>
      <c r="L377" s="102">
        <v>546432955.99878979</v>
      </c>
      <c r="M377" s="101">
        <v>2315393.8813508041</v>
      </c>
      <c r="N377" s="101">
        <v>2576230.8963289429</v>
      </c>
      <c r="O377" s="103">
        <v>199.80297505358723</v>
      </c>
      <c r="P377" s="101">
        <v>63138507.564584978</v>
      </c>
      <c r="Q377" s="101">
        <v>420923.38376389985</v>
      </c>
      <c r="R377" s="101">
        <v>649297.12131594052</v>
      </c>
      <c r="S377" s="101">
        <v>67.917339395462264</v>
      </c>
      <c r="T377" s="102">
        <v>995096.25214866584</v>
      </c>
      <c r="U377" s="104">
        <v>3259626459819.6499</v>
      </c>
      <c r="V377" s="70">
        <v>2</v>
      </c>
      <c r="W377" s="70">
        <v>3</v>
      </c>
      <c r="X377" s="70">
        <v>4</v>
      </c>
      <c r="Y377" s="70">
        <v>4</v>
      </c>
      <c r="Z377" s="70">
        <v>4</v>
      </c>
      <c r="AA377" s="71">
        <v>4</v>
      </c>
      <c r="AB377" s="70">
        <v>4</v>
      </c>
      <c r="AC377" s="70">
        <v>4</v>
      </c>
      <c r="AD377" s="70">
        <v>4</v>
      </c>
      <c r="AE377" s="70">
        <v>4</v>
      </c>
      <c r="AF377" s="69">
        <v>1</v>
      </c>
      <c r="AG377" s="70">
        <v>2</v>
      </c>
      <c r="AH377" s="70">
        <v>3</v>
      </c>
      <c r="AI377" s="70">
        <v>3</v>
      </c>
      <c r="AJ377" s="70">
        <v>3</v>
      </c>
      <c r="AK377" s="78">
        <v>151.71533745833921</v>
      </c>
      <c r="AL377" s="106">
        <v>129.79797592184752</v>
      </c>
      <c r="AM377" s="107">
        <v>112.80135404114381</v>
      </c>
      <c r="AN377" s="108">
        <v>90.883992504652142</v>
      </c>
      <c r="AO377" s="70" t="str">
        <f>IF(head!$F$82="S460","a0","b")</f>
        <v>b</v>
      </c>
      <c r="AP377" s="70">
        <f t="shared" si="42"/>
        <v>0.34</v>
      </c>
      <c r="AQ377" s="72">
        <f>IF(head!F$82="S235",235,IF(head!F$82="S275",275,IF(head!F$82="S355",355,IF(head!F$82="S420",420,460))))^0.5*head!$G$70*1000/(S377*3.1416*210000^0.5)</f>
        <v>1.9269612282581023</v>
      </c>
      <c r="AR377" s="72">
        <f t="shared" si="50"/>
        <v>2.6501731964088648</v>
      </c>
      <c r="AS377" s="72">
        <f t="shared" si="51"/>
        <v>0.22373470601593032</v>
      </c>
      <c r="AT377" s="52">
        <f>IF(head!F$82="S235",235,IF(head!F$82="S275",275,IF(head!F$82="S355",355,IF(head!F$82="S420",420,460))))*AS377*J377/1000</f>
        <v>1087.1630762226639</v>
      </c>
      <c r="AU377" s="192">
        <f t="shared" si="52"/>
        <v>2914.1943369284072</v>
      </c>
      <c r="AV377" s="52">
        <f>3.1416*1.13*head!$G$66/(1.4*head!$G$67)*((1+3.1416^2*AU377^2/(1.4*head!$G$67*1000)^2*(0.45^2+1))^0.5+3.1416*0.45*database!AU377/(1.4*head!$G$67*1000))</f>
        <v>65.849470303055782</v>
      </c>
      <c r="AW377" s="52">
        <f>AV377/(head!$G$66*1000)*(210000*database!P377*81000*database!T377)^0.5</f>
        <v>6807445042.8839664</v>
      </c>
      <c r="AX377" s="105">
        <f>IF(head!$F$82="S235",database!AF377,(IF(head!$F$82="S275",database!AG377,IF(head!$F$82="S355",database!AH377,IF(head!$F$82="S420",database!AI377,database!AJ377)))))</f>
        <v>3</v>
      </c>
      <c r="AY377" s="52">
        <f t="shared" si="53"/>
        <v>2315393.8813508041</v>
      </c>
      <c r="AZ377" s="191">
        <f>(AY377*VLOOKUP(head!$F$82,head!$L$1:$M$5,2)/AW377)^0.5</f>
        <v>0.34748378639956456</v>
      </c>
      <c r="BA377" s="77" t="str">
        <f t="shared" si="49"/>
        <v>HEAA 550</v>
      </c>
    </row>
    <row r="378" spans="1:53">
      <c r="A378" s="98" t="s">
        <v>893</v>
      </c>
      <c r="B378" s="62">
        <f t="shared" si="39"/>
        <v>1170.6540082218849</v>
      </c>
      <c r="C378" s="99">
        <v>522</v>
      </c>
      <c r="D378" s="99">
        <v>300</v>
      </c>
      <c r="E378" s="126">
        <v>11.5</v>
      </c>
      <c r="F378" s="99">
        <v>15</v>
      </c>
      <c r="G378" s="99">
        <v>27</v>
      </c>
      <c r="H378" s="100">
        <v>119.97766480093436</v>
      </c>
      <c r="I378" s="101">
        <v>122.27023164426433</v>
      </c>
      <c r="J378" s="101">
        <v>15283.77895553304</v>
      </c>
      <c r="K378" s="101">
        <v>2.1746460032938488</v>
      </c>
      <c r="L378" s="102">
        <v>728713791.700966</v>
      </c>
      <c r="M378" s="101">
        <v>2792006.8647546591</v>
      </c>
      <c r="N378" s="101">
        <v>3127601.5912617357</v>
      </c>
      <c r="O378" s="103">
        <v>218.3549896882235</v>
      </c>
      <c r="P378" s="101">
        <v>67665247.130639806</v>
      </c>
      <c r="Q378" s="101">
        <v>451101.64753759874</v>
      </c>
      <c r="R378" s="101">
        <v>698639.0107937071</v>
      </c>
      <c r="S378" s="101">
        <v>66.537650600081761</v>
      </c>
      <c r="T378" s="102">
        <v>1239224.6510231399</v>
      </c>
      <c r="U378" s="104">
        <v>4284096803992.75</v>
      </c>
      <c r="V378" s="70">
        <v>3</v>
      </c>
      <c r="W378" s="70">
        <v>3</v>
      </c>
      <c r="X378" s="70">
        <v>4</v>
      </c>
      <c r="Y378" s="70">
        <v>4</v>
      </c>
      <c r="Z378" s="70">
        <v>4</v>
      </c>
      <c r="AA378" s="71">
        <v>4</v>
      </c>
      <c r="AB378" s="70">
        <v>4</v>
      </c>
      <c r="AC378" s="70">
        <v>4</v>
      </c>
      <c r="AD378" s="70">
        <v>4</v>
      </c>
      <c r="AE378" s="70">
        <v>4</v>
      </c>
      <c r="AF378" s="69">
        <v>1</v>
      </c>
      <c r="AG378" s="70">
        <v>1</v>
      </c>
      <c r="AH378" s="70">
        <v>2</v>
      </c>
      <c r="AI378" s="70">
        <v>3</v>
      </c>
      <c r="AJ378" s="70">
        <v>3</v>
      </c>
      <c r="AK378" s="78">
        <v>142.28457566815194</v>
      </c>
      <c r="AL378" s="106">
        <v>122.65592225247335</v>
      </c>
      <c r="AM378" s="107">
        <v>107.56502071791861</v>
      </c>
      <c r="AN378" s="108">
        <v>87.936367302240043</v>
      </c>
      <c r="AO378" s="70" t="str">
        <f>IF(head!$F$82="S460","a0","b")</f>
        <v>b</v>
      </c>
      <c r="AP378" s="70">
        <f t="shared" si="42"/>
        <v>0.34</v>
      </c>
      <c r="AQ378" s="72">
        <f>IF(head!F$82="S235",235,IF(head!F$82="S275",275,IF(head!F$82="S355",355,IF(head!F$82="S420",420,460))))^0.5*head!$G$70*1000/(S378*3.1416*210000^0.5)</f>
        <v>1.9669176558112731</v>
      </c>
      <c r="AR378" s="72">
        <f t="shared" si="50"/>
        <v>2.7347585338589733</v>
      </c>
      <c r="AS378" s="72">
        <f t="shared" si="51"/>
        <v>0.21575926570011569</v>
      </c>
      <c r="AT378" s="52">
        <f>IF(head!F$82="S235",235,IF(head!F$82="S275",275,IF(head!F$82="S355",355,IF(head!F$82="S420",420,460))))*AS378*J378/1000</f>
        <v>1170.6540082218849</v>
      </c>
      <c r="AU378" s="192">
        <f t="shared" si="52"/>
        <v>2993.7928978169361</v>
      </c>
      <c r="AV378" s="52">
        <f>3.1416*1.13*head!$G$66/(1.4*head!$G$67)*((1+3.1416^2*AU378^2/(1.4*head!$G$67*1000)^2*(0.45^2+1))^0.5+3.1416*0.45*database!AU378/(1.4*head!$G$67*1000))</f>
        <v>67.556205004634847</v>
      </c>
      <c r="AW378" s="52">
        <f>AV378/(head!$G$66*1000)*(210000*database!P378*81000*database!T378)^0.5</f>
        <v>8068174076.7825775</v>
      </c>
      <c r="AX378" s="105">
        <f>IF(head!$F$82="S235",database!AF378,(IF(head!$F$82="S275",database!AG378,IF(head!$F$82="S355",database!AH378,IF(head!$F$82="S420",database!AI378,database!AJ378)))))</f>
        <v>2</v>
      </c>
      <c r="AY378" s="52">
        <f t="shared" si="53"/>
        <v>3127601.5912617357</v>
      </c>
      <c r="AZ378" s="191">
        <f>(AY378*VLOOKUP(head!$F$82,head!$L$1:$M$5,2)/AW378)^0.5</f>
        <v>0.37096442155059184</v>
      </c>
      <c r="BA378" s="77" t="str">
        <f t="shared" si="49"/>
        <v>HEAA 600</v>
      </c>
    </row>
    <row r="379" spans="1:53">
      <c r="A379" s="98" t="s">
        <v>894</v>
      </c>
      <c r="B379" s="62">
        <f t="shared" si="39"/>
        <v>1215.0390659901868</v>
      </c>
      <c r="C379" s="99">
        <v>571</v>
      </c>
      <c r="D379" s="99">
        <v>300</v>
      </c>
      <c r="E379" s="126">
        <v>12</v>
      </c>
      <c r="F379" s="99">
        <v>15.5</v>
      </c>
      <c r="G379" s="99">
        <v>27</v>
      </c>
      <c r="H379" s="100">
        <v>128.78536480093436</v>
      </c>
      <c r="I379" s="101">
        <v>131.24623164426433</v>
      </c>
      <c r="J379" s="101">
        <v>16405.778955533042</v>
      </c>
      <c r="K379" s="101">
        <v>2.2716460032938488</v>
      </c>
      <c r="L379" s="102">
        <v>918719383.75991642</v>
      </c>
      <c r="M379" s="101">
        <v>3217931.2916284287</v>
      </c>
      <c r="N379" s="101">
        <v>3623061.2861945289</v>
      </c>
      <c r="O379" s="103">
        <v>236.64264554732159</v>
      </c>
      <c r="P379" s="101">
        <v>69934376.49722138</v>
      </c>
      <c r="Q379" s="101">
        <v>466229.17664814251</v>
      </c>
      <c r="R379" s="101">
        <v>724468.70553259028</v>
      </c>
      <c r="S379" s="101">
        <v>65.290038658790351</v>
      </c>
      <c r="T379" s="102">
        <v>1391834.09152931</v>
      </c>
      <c r="U379" s="104">
        <v>5319967100424.9502</v>
      </c>
      <c r="V379" s="70">
        <v>3</v>
      </c>
      <c r="W379" s="70">
        <v>4</v>
      </c>
      <c r="X379" s="70">
        <v>4</v>
      </c>
      <c r="Y379" s="70">
        <v>4</v>
      </c>
      <c r="Z379" s="70">
        <v>4</v>
      </c>
      <c r="AA379" s="71">
        <v>4</v>
      </c>
      <c r="AB379" s="70">
        <v>4</v>
      </c>
      <c r="AC379" s="70">
        <v>4</v>
      </c>
      <c r="AD379" s="70">
        <v>4</v>
      </c>
      <c r="AE379" s="70">
        <v>4</v>
      </c>
      <c r="AF379" s="69">
        <v>1</v>
      </c>
      <c r="AG379" s="70">
        <v>1</v>
      </c>
      <c r="AH379" s="70">
        <v>2</v>
      </c>
      <c r="AI379" s="70">
        <v>3</v>
      </c>
      <c r="AJ379" s="70">
        <v>3</v>
      </c>
      <c r="AK379" s="78">
        <v>138.46620812404092</v>
      </c>
      <c r="AL379" s="106">
        <v>120.17996881695692</v>
      </c>
      <c r="AM379" s="107">
        <v>106.1820962431345</v>
      </c>
      <c r="AN379" s="108">
        <v>87.895856936050478</v>
      </c>
      <c r="AO379" s="70" t="str">
        <f>IF(head!$F$82="S460","a0","b")</f>
        <v>b</v>
      </c>
      <c r="AP379" s="70">
        <f t="shared" si="42"/>
        <v>0.34</v>
      </c>
      <c r="AQ379" s="72">
        <f>IF(head!F$82="S235",235,IF(head!F$82="S275",275,IF(head!F$82="S355",355,IF(head!F$82="S420",420,460))))^0.5*head!$G$70*1000/(S379*3.1416*210000^0.5)</f>
        <v>2.0045030211340222</v>
      </c>
      <c r="AR379" s="72">
        <f t="shared" si="50"/>
        <v>2.8157816944604952</v>
      </c>
      <c r="AS379" s="72">
        <f t="shared" si="51"/>
        <v>0.20862436740049198</v>
      </c>
      <c r="AT379" s="52">
        <f>IF(head!F$82="S235",235,IF(head!F$82="S275",275,IF(head!F$82="S355",355,IF(head!F$82="S420",420,460))))*AS379*J379/1000</f>
        <v>1215.0390659901868</v>
      </c>
      <c r="AU379" s="192">
        <f t="shared" si="52"/>
        <v>3147.9503665825873</v>
      </c>
      <c r="AV379" s="52">
        <f>3.1416*1.13*head!$G$66/(1.4*head!$G$67)*((1+3.1416^2*AU379^2/(1.4*head!$G$67*1000)^2*(0.45^2+1))^0.5+3.1416*0.45*database!AU379/(1.4*head!$G$67*1000))</f>
        <v>70.86770048792485</v>
      </c>
      <c r="AW379" s="52">
        <f>AV379/(head!$G$66*1000)*(210000*database!P379*81000*database!T379)^0.5</f>
        <v>9118839806.7384338</v>
      </c>
      <c r="AX379" s="105">
        <f>IF(head!$F$82="S235",database!AF379,(IF(head!$F$82="S275",database!AG379,IF(head!$F$82="S355",database!AH379,IF(head!$F$82="S420",database!AI379,database!AJ379)))))</f>
        <v>2</v>
      </c>
      <c r="AY379" s="52">
        <f t="shared" si="53"/>
        <v>3623061.2861945289</v>
      </c>
      <c r="AZ379" s="191">
        <f>(AY379*VLOOKUP(head!$F$82,head!$L$1:$M$5,2)/AW379)^0.5</f>
        <v>0.37556250189434282</v>
      </c>
      <c r="BA379" s="77" t="str">
        <f t="shared" si="49"/>
        <v>HEAA 650</v>
      </c>
    </row>
    <row r="380" spans="1:53">
      <c r="A380" s="98" t="s">
        <v>895</v>
      </c>
      <c r="B380" s="62">
        <f t="shared" si="39"/>
        <v>1259.5258782497335</v>
      </c>
      <c r="C380" s="99">
        <v>620</v>
      </c>
      <c r="D380" s="99">
        <v>300</v>
      </c>
      <c r="E380" s="126">
        <v>12.5</v>
      </c>
      <c r="F380" s="99">
        <v>16</v>
      </c>
      <c r="G380" s="99">
        <v>27</v>
      </c>
      <c r="H380" s="100">
        <v>137.96986480093437</v>
      </c>
      <c r="I380" s="101">
        <v>140.60623164426434</v>
      </c>
      <c r="J380" s="101">
        <v>17575.778955533042</v>
      </c>
      <c r="K380" s="101">
        <v>2.3686460032938488</v>
      </c>
      <c r="L380" s="102">
        <v>1139440899.1756408</v>
      </c>
      <c r="M380" s="101">
        <v>3675615.8037923896</v>
      </c>
      <c r="N380" s="101">
        <v>4159854.9811273213</v>
      </c>
      <c r="O380" s="103">
        <v>254.61771186391098</v>
      </c>
      <c r="P380" s="101">
        <v>72206123.086172402</v>
      </c>
      <c r="Q380" s="101">
        <v>481374.15390781598</v>
      </c>
      <c r="R380" s="101">
        <v>750653.90027147357</v>
      </c>
      <c r="S380" s="101">
        <v>64.095822169007462</v>
      </c>
      <c r="T380" s="102">
        <v>1560138.70142991</v>
      </c>
      <c r="U380" s="104">
        <v>6498213321979.6299</v>
      </c>
      <c r="V380" s="70">
        <v>4</v>
      </c>
      <c r="W380" s="70">
        <v>4</v>
      </c>
      <c r="X380" s="70">
        <v>4</v>
      </c>
      <c r="Y380" s="70">
        <v>4</v>
      </c>
      <c r="Z380" s="70">
        <v>4</v>
      </c>
      <c r="AA380" s="71">
        <v>4</v>
      </c>
      <c r="AB380" s="70">
        <v>4</v>
      </c>
      <c r="AC380" s="70">
        <v>4</v>
      </c>
      <c r="AD380" s="70">
        <v>4</v>
      </c>
      <c r="AE380" s="70">
        <v>4</v>
      </c>
      <c r="AF380" s="69">
        <v>1</v>
      </c>
      <c r="AG380" s="70">
        <v>1</v>
      </c>
      <c r="AH380" s="70">
        <v>1</v>
      </c>
      <c r="AI380" s="70">
        <v>2</v>
      </c>
      <c r="AJ380" s="70">
        <v>3</v>
      </c>
      <c r="AK380" s="78">
        <v>134.76762590645657</v>
      </c>
      <c r="AL380" s="106">
        <v>117.69868115248555</v>
      </c>
      <c r="AM380" s="107">
        <v>104.68952782435561</v>
      </c>
      <c r="AN380" s="108">
        <v>87.620583070384569</v>
      </c>
      <c r="AO380" s="70" t="str">
        <f>IF(head!$F$82="S460","a0","b")</f>
        <v>b</v>
      </c>
      <c r="AP380" s="70">
        <f t="shared" si="42"/>
        <v>0.34</v>
      </c>
      <c r="AQ380" s="72">
        <f>IF(head!F$82="S235",235,IF(head!F$82="S275",275,IF(head!F$82="S355",355,IF(head!F$82="S420",420,460))))^0.5*head!$G$70*1000/(S380*3.1416*210000^0.5)</f>
        <v>2.0418503938745709</v>
      </c>
      <c r="AR380" s="72">
        <f t="shared" si="50"/>
        <v>2.8976910824415474</v>
      </c>
      <c r="AS380" s="72">
        <f t="shared" si="51"/>
        <v>0.20186645663888761</v>
      </c>
      <c r="AT380" s="52">
        <f>IF(head!F$82="S235",235,IF(head!F$82="S275",275,IF(head!F$82="S355",355,IF(head!F$82="S420",420,460))))*AS380*J380/1000</f>
        <v>1259.5258782497335</v>
      </c>
      <c r="AU380" s="192">
        <f t="shared" si="52"/>
        <v>3286.1131617794977</v>
      </c>
      <c r="AV380" s="52">
        <f>3.1416*1.13*head!$G$66/(1.4*head!$G$67)*((1+3.1416^2*AU380^2/(1.4*head!$G$67*1000)^2*(0.45^2+1))^0.5+3.1416*0.45*database!AU380/(1.4*head!$G$67*1000))</f>
        <v>73.841705960600152</v>
      </c>
      <c r="AW380" s="52">
        <f>AV380/(head!$G$66*1000)*(210000*database!P380*81000*database!T380)^0.5</f>
        <v>10221685093.77302</v>
      </c>
      <c r="AX380" s="105">
        <f>IF(head!$F$82="S235",database!AF380,(IF(head!$F$82="S275",database!AG380,IF(head!$F$82="S355",database!AH380,IF(head!$F$82="S420",database!AI380,database!AJ380)))))</f>
        <v>1</v>
      </c>
      <c r="AY380" s="52">
        <f t="shared" si="53"/>
        <v>4159854.9811273213</v>
      </c>
      <c r="AZ380" s="191">
        <f>(AY380*VLOOKUP(head!$F$82,head!$L$1:$M$5,2)/AW380)^0.5</f>
        <v>0.38009488325535595</v>
      </c>
      <c r="BA380" s="77" t="str">
        <f t="shared" si="49"/>
        <v>HEAA 700</v>
      </c>
    </row>
    <row r="381" spans="1:53">
      <c r="A381" s="98" t="s">
        <v>896</v>
      </c>
      <c r="B381" s="62">
        <f t="shared" si="39"/>
        <v>1341.5667975259187</v>
      </c>
      <c r="C381" s="99">
        <v>670</v>
      </c>
      <c r="D381" s="99">
        <v>300</v>
      </c>
      <c r="E381" s="126">
        <v>13</v>
      </c>
      <c r="F381" s="99">
        <v>17</v>
      </c>
      <c r="G381" s="99">
        <v>27</v>
      </c>
      <c r="H381" s="100">
        <v>149.88616480093438</v>
      </c>
      <c r="I381" s="101">
        <v>152.75023164426435</v>
      </c>
      <c r="J381" s="101">
        <v>19093.778955533042</v>
      </c>
      <c r="K381" s="101">
        <v>2.467646003293849</v>
      </c>
      <c r="L381" s="102">
        <v>1427206130.9481392</v>
      </c>
      <c r="M381" s="101">
        <v>4260316.8088004151</v>
      </c>
      <c r="N381" s="101">
        <v>4840135.676060115</v>
      </c>
      <c r="O381" s="103">
        <v>273.39930490095395</v>
      </c>
      <c r="P381" s="101">
        <v>76730742.647492856</v>
      </c>
      <c r="Q381" s="101">
        <v>511538.28431661904</v>
      </c>
      <c r="R381" s="101">
        <v>799712.59501035686</v>
      </c>
      <c r="S381" s="101">
        <v>63.392627898971554</v>
      </c>
      <c r="T381" s="102">
        <v>1841383.2830011901</v>
      </c>
      <c r="U381" s="104">
        <v>8076461388259.8604</v>
      </c>
      <c r="V381" s="70">
        <v>4</v>
      </c>
      <c r="W381" s="70">
        <v>4</v>
      </c>
      <c r="X381" s="70">
        <v>4</v>
      </c>
      <c r="Y381" s="70">
        <v>4</v>
      </c>
      <c r="Z381" s="70">
        <v>4</v>
      </c>
      <c r="AA381" s="71">
        <v>4</v>
      </c>
      <c r="AB381" s="70">
        <v>4</v>
      </c>
      <c r="AC381" s="70">
        <v>4</v>
      </c>
      <c r="AD381" s="70">
        <v>4</v>
      </c>
      <c r="AE381" s="70">
        <v>4</v>
      </c>
      <c r="AF381" s="69">
        <v>1</v>
      </c>
      <c r="AG381" s="70">
        <v>1</v>
      </c>
      <c r="AH381" s="70">
        <v>1</v>
      </c>
      <c r="AI381" s="70">
        <v>2</v>
      </c>
      <c r="AJ381" s="70">
        <v>2</v>
      </c>
      <c r="AK381" s="78">
        <v>129.23821989563615</v>
      </c>
      <c r="AL381" s="106">
        <v>113.52629609581309</v>
      </c>
      <c r="AM381" s="107">
        <v>101.60377390552236</v>
      </c>
      <c r="AN381" s="108">
        <v>85.891850105699319</v>
      </c>
      <c r="AO381" s="70" t="str">
        <f>IF(head!$F$82="S460","a0","b")</f>
        <v>b</v>
      </c>
      <c r="AP381" s="70">
        <f t="shared" si="42"/>
        <v>0.34</v>
      </c>
      <c r="AQ381" s="72">
        <f>IF(head!F$82="S235",235,IF(head!F$82="S275",275,IF(head!F$82="S355",355,IF(head!F$82="S420",420,460))))^0.5*head!$G$70*1000/(S381*3.1416*210000^0.5)</f>
        <v>2.064499991230456</v>
      </c>
      <c r="AR381" s="72">
        <f t="shared" si="50"/>
        <v>2.9480451054044541</v>
      </c>
      <c r="AS381" s="72">
        <f t="shared" si="51"/>
        <v>0.19792108258309729</v>
      </c>
      <c r="AT381" s="52">
        <f>IF(head!F$82="S235",235,IF(head!F$82="S275",275,IF(head!F$82="S355",355,IF(head!F$82="S420",420,460))))*AS381*J381/1000</f>
        <v>1341.5667975259187</v>
      </c>
      <c r="AU381" s="192">
        <f t="shared" si="52"/>
        <v>3372.14002851537</v>
      </c>
      <c r="AV381" s="52">
        <f>3.1416*1.13*head!$G$66/(1.4*head!$G$67)*((1+3.1416^2*AU381^2/(1.4*head!$G$67*1000)^2*(0.45^2+1))^0.5+3.1416*0.45*database!AU381/(1.4*head!$G$67*1000))</f>
        <v>75.696069326262361</v>
      </c>
      <c r="AW381" s="52">
        <f>AV381/(head!$G$66*1000)*(210000*database!P381*81000*database!T381)^0.5</f>
        <v>11734978117.628637</v>
      </c>
      <c r="AX381" s="105">
        <f>IF(head!$F$82="S235",database!AF381,(IF(head!$F$82="S275",database!AG381,IF(head!$F$82="S355",database!AH381,IF(head!$F$82="S420",database!AI381,database!AJ381)))))</f>
        <v>1</v>
      </c>
      <c r="AY381" s="52">
        <f t="shared" si="53"/>
        <v>4840135.676060115</v>
      </c>
      <c r="AZ381" s="191">
        <f>(AY381*VLOOKUP(head!$F$82,head!$L$1:$M$5,2)/AW381)^0.5</f>
        <v>0.38265007460410544</v>
      </c>
      <c r="BA381" s="77" t="str">
        <f t="shared" si="49"/>
        <v>HEAA 800</v>
      </c>
    </row>
    <row r="382" spans="1:53">
      <c r="A382" s="98" t="s">
        <v>897</v>
      </c>
      <c r="B382" s="62">
        <f t="shared" si="39"/>
        <v>1433.1441639977395</v>
      </c>
      <c r="C382" s="99">
        <v>770</v>
      </c>
      <c r="D382" s="99">
        <v>300</v>
      </c>
      <c r="E382" s="126">
        <v>14</v>
      </c>
      <c r="F382" s="99">
        <v>18</v>
      </c>
      <c r="G382" s="99">
        <v>30</v>
      </c>
      <c r="H382" s="100">
        <v>171.51124790238813</v>
      </c>
      <c r="I382" s="101">
        <v>174.78853289415352</v>
      </c>
      <c r="J382" s="101">
        <v>21848.566611769187</v>
      </c>
      <c r="K382" s="101">
        <v>2.6604955592153874</v>
      </c>
      <c r="L382" s="102">
        <v>2088822566.3529961</v>
      </c>
      <c r="M382" s="101">
        <v>5425513.1593584316</v>
      </c>
      <c r="N382" s="101">
        <v>6224800.9481662158</v>
      </c>
      <c r="O382" s="103">
        <v>309.19986832496699</v>
      </c>
      <c r="P382" s="101">
        <v>81337312.512493417</v>
      </c>
      <c r="Q382" s="101">
        <v>542248.75008328946</v>
      </c>
      <c r="R382" s="101">
        <v>856550.96463545994</v>
      </c>
      <c r="S382" s="101">
        <v>61.014553050870369</v>
      </c>
      <c r="T382" s="102">
        <v>2394068.8640201702</v>
      </c>
      <c r="U382" s="104">
        <v>11341580859529.6</v>
      </c>
      <c r="V382" s="70">
        <v>4</v>
      </c>
      <c r="W382" s="70">
        <v>4</v>
      </c>
      <c r="X382" s="70">
        <v>4</v>
      </c>
      <c r="Y382" s="70">
        <v>4</v>
      </c>
      <c r="Z382" s="70">
        <v>4</v>
      </c>
      <c r="AA382" s="71">
        <v>4</v>
      </c>
      <c r="AB382" s="70">
        <v>4</v>
      </c>
      <c r="AC382" s="70">
        <v>4</v>
      </c>
      <c r="AD382" s="70">
        <v>4</v>
      </c>
      <c r="AE382" s="70">
        <v>4</v>
      </c>
      <c r="AF382" s="69">
        <v>1</v>
      </c>
      <c r="AG382" s="70">
        <v>1</v>
      </c>
      <c r="AH382" s="70">
        <v>1</v>
      </c>
      <c r="AI382" s="70">
        <v>1</v>
      </c>
      <c r="AJ382" s="70">
        <v>1</v>
      </c>
      <c r="AK382" s="78">
        <v>121.76979874653451</v>
      </c>
      <c r="AL382" s="106">
        <v>108.03892086650011</v>
      </c>
      <c r="AM382" s="107">
        <v>97.946928877578827</v>
      </c>
      <c r="AN382" s="108">
        <v>84.216050997544414</v>
      </c>
      <c r="AO382" s="70" t="str">
        <f>IF(head!$F$82="S460","a0","b")</f>
        <v>b</v>
      </c>
      <c r="AP382" s="70">
        <f t="shared" si="42"/>
        <v>0.34</v>
      </c>
      <c r="AQ382" s="72">
        <f>IF(head!F$82="S235",235,IF(head!F$82="S275",275,IF(head!F$82="S355",355,IF(head!F$82="S420",420,460))))^0.5*head!$G$70*1000/(S382*3.1416*210000^0.5)</f>
        <v>2.1449649829014921</v>
      </c>
      <c r="AR382" s="72">
        <f t="shared" si="50"/>
        <v>3.131081436030053</v>
      </c>
      <c r="AS382" s="72">
        <f t="shared" si="51"/>
        <v>0.18477302817217817</v>
      </c>
      <c r="AT382" s="52">
        <f>IF(head!F$82="S235",235,IF(head!F$82="S275",275,IF(head!F$82="S355",355,IF(head!F$82="S420",420,460))))*AS382*J382/1000</f>
        <v>1433.1441639977395</v>
      </c>
      <c r="AU382" s="192">
        <f t="shared" si="52"/>
        <v>3504.5770724027116</v>
      </c>
      <c r="AV382" s="52">
        <f>3.1416*1.13*head!$G$66/(1.4*head!$G$67)*((1+3.1416^2*AU382^2/(1.4*head!$G$67*1000)^2*(0.45^2+1))^0.5+3.1416*0.45*database!AU382/(1.4*head!$G$67*1000))</f>
        <v>78.554362380332435</v>
      </c>
      <c r="AW382" s="52">
        <f>AV382/(head!$G$66*1000)*(210000*database!P382*81000*database!T382)^0.5</f>
        <v>14296696349.97654</v>
      </c>
      <c r="AX382" s="105">
        <f>IF(head!$F$82="S235",database!AF382,(IF(head!$F$82="S275",database!AG382,IF(head!$F$82="S355",database!AH382,IF(head!$F$82="S420",database!AI382,database!AJ382)))))</f>
        <v>1</v>
      </c>
      <c r="AY382" s="52">
        <f t="shared" si="53"/>
        <v>6224800.9481662158</v>
      </c>
      <c r="AZ382" s="191">
        <f>(AY382*VLOOKUP(head!$F$82,head!$L$1:$M$5,2)/AW382)^0.5</f>
        <v>0.39315070985761541</v>
      </c>
      <c r="BA382" s="77" t="str">
        <f t="shared" si="49"/>
        <v>HEAA 900</v>
      </c>
    </row>
    <row r="383" spans="1:53">
      <c r="A383" s="98" t="s">
        <v>898</v>
      </c>
      <c r="B383" s="62">
        <f t="shared" si="39"/>
        <v>1598.8834123233426</v>
      </c>
      <c r="C383" s="99">
        <v>870</v>
      </c>
      <c r="D383" s="99">
        <v>300</v>
      </c>
      <c r="E383" s="126">
        <v>15</v>
      </c>
      <c r="F383" s="99">
        <v>20</v>
      </c>
      <c r="G383" s="99">
        <v>30</v>
      </c>
      <c r="H383" s="100">
        <v>197.99714790238812</v>
      </c>
      <c r="I383" s="101">
        <v>201.78053289415351</v>
      </c>
      <c r="J383" s="101">
        <v>25222.566611769187</v>
      </c>
      <c r="K383" s="101">
        <v>2.8584955592153873</v>
      </c>
      <c r="L383" s="102">
        <v>3011451263.5171356</v>
      </c>
      <c r="M383" s="101">
        <v>6922876.4678554842</v>
      </c>
      <c r="N383" s="101">
        <v>7998813.1455311375</v>
      </c>
      <c r="O383" s="103">
        <v>345.53598348727326</v>
      </c>
      <c r="P383" s="101">
        <v>90413686.785448492</v>
      </c>
      <c r="Q383" s="101">
        <v>602757.91190298996</v>
      </c>
      <c r="R383" s="101">
        <v>957658.74794134451</v>
      </c>
      <c r="S383" s="101">
        <v>59.871818676950532</v>
      </c>
      <c r="T383" s="102">
        <v>3188272.2121526301</v>
      </c>
      <c r="U383" s="104">
        <v>16120101120271</v>
      </c>
      <c r="V383" s="70">
        <v>4</v>
      </c>
      <c r="W383" s="70">
        <v>4</v>
      </c>
      <c r="X383" s="70">
        <v>4</v>
      </c>
      <c r="Y383" s="70">
        <v>4</v>
      </c>
      <c r="Z383" s="70">
        <v>4</v>
      </c>
      <c r="AA383" s="71">
        <v>4</v>
      </c>
      <c r="AB383" s="70">
        <v>4</v>
      </c>
      <c r="AC383" s="70">
        <v>4</v>
      </c>
      <c r="AD383" s="70">
        <v>4</v>
      </c>
      <c r="AE383" s="70">
        <v>4</v>
      </c>
      <c r="AF383" s="69">
        <v>1</v>
      </c>
      <c r="AG383" s="70">
        <v>1</v>
      </c>
      <c r="AH383" s="70">
        <v>1</v>
      </c>
      <c r="AI383" s="70">
        <v>1</v>
      </c>
      <c r="AJ383" s="70">
        <v>1</v>
      </c>
      <c r="AK383" s="78">
        <v>113.33087560889125</v>
      </c>
      <c r="AL383" s="106">
        <v>101.43676488583677</v>
      </c>
      <c r="AM383" s="107">
        <v>92.774063639825002</v>
      </c>
      <c r="AN383" s="108">
        <v>80.87995291677052</v>
      </c>
      <c r="AO383" s="70" t="str">
        <f>IF(head!$F$82="S460","a0","b")</f>
        <v>b</v>
      </c>
      <c r="AP383" s="70">
        <f t="shared" si="42"/>
        <v>0.34</v>
      </c>
      <c r="AQ383" s="72">
        <f>IF(head!F$82="S235",235,IF(head!F$82="S275",275,IF(head!F$82="S355",355,IF(head!F$82="S420",420,460))))^0.5*head!$G$70*1000/(S383*3.1416*210000^0.5)</f>
        <v>2.185904531273013</v>
      </c>
      <c r="AR383" s="72">
        <f t="shared" si="50"/>
        <v>3.226693080236358</v>
      </c>
      <c r="AS383" s="72">
        <f t="shared" si="51"/>
        <v>0.17856616281154011</v>
      </c>
      <c r="AT383" s="52">
        <f>IF(head!F$82="S235",235,IF(head!F$82="S275",275,IF(head!F$82="S355",355,IF(head!F$82="S420",420,460))))*AS383*J383/1000</f>
        <v>1598.8834123233426</v>
      </c>
      <c r="AU383" s="192">
        <f t="shared" si="52"/>
        <v>3620.5397652564161</v>
      </c>
      <c r="AV383" s="52">
        <f>3.1416*1.13*head!$G$66/(1.4*head!$G$67)*((1+3.1416^2*AU383^2/(1.4*head!$G$67*1000)^2*(0.45^2+1))^0.5+3.1416*0.45*database!AU383/(1.4*head!$G$67*1000))</f>
        <v>81.060306703666669</v>
      </c>
      <c r="AW383" s="52">
        <f>AV383/(head!$G$66*1000)*(210000*database!P383*81000*database!T383)^0.5</f>
        <v>17949616982.420265</v>
      </c>
      <c r="AX383" s="105">
        <f>IF(head!$F$82="S235",database!AF383,(IF(head!$F$82="S275",database!AG383,IF(head!$F$82="S355",database!AH383,IF(head!$F$82="S420",database!AI383,database!AJ383)))))</f>
        <v>1</v>
      </c>
      <c r="AY383" s="52">
        <f t="shared" si="53"/>
        <v>7998813.1455311375</v>
      </c>
      <c r="AZ383" s="191">
        <f>(AY383*VLOOKUP(head!$F$82,head!$L$1:$M$5,2)/AW383)^0.5</f>
        <v>0.39774008246746151</v>
      </c>
      <c r="BA383" s="77" t="str">
        <f t="shared" si="49"/>
        <v>HEAA 1000</v>
      </c>
    </row>
    <row r="384" spans="1:53">
      <c r="A384" s="98" t="s">
        <v>899</v>
      </c>
      <c r="B384" s="62">
        <f t="shared" si="39"/>
        <v>1689.9126988578223</v>
      </c>
      <c r="C384" s="99">
        <v>970</v>
      </c>
      <c r="D384" s="99">
        <v>300</v>
      </c>
      <c r="E384" s="126">
        <v>16</v>
      </c>
      <c r="F384" s="99">
        <v>21</v>
      </c>
      <c r="G384" s="99">
        <v>30</v>
      </c>
      <c r="H384" s="100">
        <v>221.53144790238812</v>
      </c>
      <c r="I384" s="101">
        <v>225.76453289415352</v>
      </c>
      <c r="J384" s="101">
        <v>28220.566611769187</v>
      </c>
      <c r="K384" s="101">
        <v>3.0564955592153873</v>
      </c>
      <c r="L384" s="102">
        <v>4064513253.5473781</v>
      </c>
      <c r="M384" s="101">
        <v>8380439.6980358306</v>
      </c>
      <c r="N384" s="101">
        <v>9776729.9095078278</v>
      </c>
      <c r="O384" s="103">
        <v>379.50841260244857</v>
      </c>
      <c r="P384" s="101">
        <v>95008171.008376107</v>
      </c>
      <c r="Q384" s="101">
        <v>633387.80672250735</v>
      </c>
      <c r="R384" s="101">
        <v>1015749.5312472291</v>
      </c>
      <c r="S384" s="101">
        <v>58.022657246676751</v>
      </c>
      <c r="T384" s="102">
        <v>3844886.7003632095</v>
      </c>
      <c r="U384" s="104">
        <v>21121559449220.801</v>
      </c>
      <c r="V384" s="70">
        <v>4</v>
      </c>
      <c r="W384" s="70">
        <v>4</v>
      </c>
      <c r="X384" s="70">
        <v>4</v>
      </c>
      <c r="Y384" s="70">
        <v>4</v>
      </c>
      <c r="Z384" s="70">
        <v>4</v>
      </c>
      <c r="AA384" s="71">
        <v>4</v>
      </c>
      <c r="AB384" s="70">
        <v>4</v>
      </c>
      <c r="AC384" s="70">
        <v>4</v>
      </c>
      <c r="AD384" s="70">
        <v>4</v>
      </c>
      <c r="AE384" s="70">
        <v>4</v>
      </c>
      <c r="AF384" s="69">
        <v>1</v>
      </c>
      <c r="AG384" s="70">
        <v>1</v>
      </c>
      <c r="AH384" s="70">
        <v>1</v>
      </c>
      <c r="AI384" s="70">
        <v>2</v>
      </c>
      <c r="AJ384" s="70">
        <v>2</v>
      </c>
      <c r="AK384" s="78">
        <v>108.30737742667071</v>
      </c>
      <c r="AL384" s="106">
        <v>97.676832543320032</v>
      </c>
      <c r="AM384" s="107">
        <v>90.005280012369099</v>
      </c>
      <c r="AN384" s="108">
        <v>79.374735129018418</v>
      </c>
      <c r="AO384" s="70" t="str">
        <f>IF(head!$F$82="S460","a0","b")</f>
        <v>b</v>
      </c>
      <c r="AP384" s="70">
        <f t="shared" si="42"/>
        <v>0.34</v>
      </c>
      <c r="AQ384" s="72">
        <f>IF(head!F$82="S235",235,IF(head!F$82="S275",275,IF(head!F$82="S355",355,IF(head!F$82="S420",420,460))))^0.5*head!$G$70*1000/(S384*3.1416*210000^0.5)</f>
        <v>2.2555685304984574</v>
      </c>
      <c r="AR384" s="72">
        <f t="shared" si="50"/>
        <v>3.3932413480722232</v>
      </c>
      <c r="AS384" s="72">
        <f t="shared" si="51"/>
        <v>0.16868256144744004</v>
      </c>
      <c r="AT384" s="52">
        <f>IF(head!F$82="S235",235,IF(head!F$82="S275",275,IF(head!F$82="S355",355,IF(head!F$82="S420",420,460))))*AS384*J384/1000</f>
        <v>1689.9126988578223</v>
      </c>
      <c r="AU384" s="192">
        <f t="shared" si="52"/>
        <v>3773.882328598389</v>
      </c>
      <c r="AV384" s="52">
        <f>3.1416*1.13*head!$G$66/(1.4*head!$G$67)*((1+3.1416^2*AU384^2/(1.4*head!$G$67*1000)^2*(0.45^2+1))^0.5+3.1416*0.45*database!AU384/(1.4*head!$G$67*1000))</f>
        <v>84.378155921267492</v>
      </c>
      <c r="AW384" s="52">
        <f>AV384/(head!$G$66*1000)*(210000*database!P384*81000*database!T384)^0.5</f>
        <v>21033155791.533558</v>
      </c>
      <c r="AX384" s="105">
        <f>IF(head!$F$82="S235",database!AF384,(IF(head!$F$82="S275",database!AG384,IF(head!$F$82="S355",database!AH384,IF(head!$F$82="S420",database!AI384,database!AJ384)))))</f>
        <v>1</v>
      </c>
      <c r="AY384" s="52">
        <f t="shared" si="53"/>
        <v>9776729.9095078278</v>
      </c>
      <c r="AZ384" s="191">
        <f>(AY384*VLOOKUP(head!$F$82,head!$L$1:$M$5,2)/AW384)^0.5</f>
        <v>0.40621762811144807</v>
      </c>
      <c r="BA384" s="77" t="s">
        <v>153</v>
      </c>
    </row>
    <row r="385" spans="1:53">
      <c r="A385" s="109" t="s">
        <v>47</v>
      </c>
      <c r="B385" s="83">
        <v>0</v>
      </c>
      <c r="C385" s="110"/>
      <c r="D385" s="110"/>
      <c r="E385" s="127"/>
      <c r="F385" s="110"/>
      <c r="G385" s="110"/>
      <c r="H385" s="111"/>
      <c r="I385" s="112"/>
      <c r="J385" s="112"/>
      <c r="K385" s="112"/>
      <c r="L385" s="113"/>
      <c r="M385" s="112"/>
      <c r="N385" s="112"/>
      <c r="O385" s="114"/>
      <c r="P385" s="112"/>
      <c r="Q385" s="112"/>
      <c r="R385" s="112"/>
      <c r="S385" s="112"/>
      <c r="T385" s="113"/>
      <c r="U385" s="115"/>
      <c r="V385" s="91" t="s">
        <v>47</v>
      </c>
      <c r="W385" s="91" t="s">
        <v>47</v>
      </c>
      <c r="X385" s="91" t="s">
        <v>47</v>
      </c>
      <c r="Y385" s="91" t="s">
        <v>47</v>
      </c>
      <c r="Z385" s="91" t="s">
        <v>47</v>
      </c>
      <c r="AA385" s="92" t="s">
        <v>47</v>
      </c>
      <c r="AB385" s="91" t="s">
        <v>47</v>
      </c>
      <c r="AC385" s="91" t="s">
        <v>47</v>
      </c>
      <c r="AD385" s="91" t="s">
        <v>47</v>
      </c>
      <c r="AE385" s="91" t="s">
        <v>47</v>
      </c>
      <c r="AF385" s="90"/>
      <c r="AK385" s="93"/>
      <c r="AM385" s="94"/>
      <c r="AN385" s="95"/>
      <c r="AQ385" s="96" t="s">
        <v>47</v>
      </c>
      <c r="AT385" s="50" t="s">
        <v>47</v>
      </c>
      <c r="AU385" s="196"/>
      <c r="AV385" s="50"/>
      <c r="AW385" s="50"/>
      <c r="AX385" s="51"/>
      <c r="AY385" s="50"/>
      <c r="AZ385" s="197"/>
      <c r="BA385" s="97" t="str">
        <f t="shared" ref="BA385:BA408" si="54">A386</f>
        <v>HEB 100</v>
      </c>
    </row>
    <row r="386" spans="1:53">
      <c r="A386" s="109" t="s">
        <v>236</v>
      </c>
      <c r="B386" s="83">
        <f t="shared" ref="B386:B409" si="55">AT386</f>
        <v>31.677005613165413</v>
      </c>
      <c r="C386" s="110">
        <v>100</v>
      </c>
      <c r="D386" s="110">
        <v>100</v>
      </c>
      <c r="E386" s="127">
        <v>6</v>
      </c>
      <c r="F386" s="110">
        <v>10</v>
      </c>
      <c r="G386" s="110">
        <v>12</v>
      </c>
      <c r="H386" s="111">
        <v>20.438343664382099</v>
      </c>
      <c r="I386" s="112">
        <v>20.82888526306456</v>
      </c>
      <c r="J386" s="112">
        <v>2603.61065788307</v>
      </c>
      <c r="K386" s="112">
        <v>0.567398223686155</v>
      </c>
      <c r="L386" s="113">
        <v>4495451.4061307833</v>
      </c>
      <c r="M386" s="112">
        <v>89909.028122615666</v>
      </c>
      <c r="N386" s="112">
        <v>104213.09842072596</v>
      </c>
      <c r="O386" s="114">
        <v>41.552641149252437</v>
      </c>
      <c r="P386" s="112">
        <v>1672721.0483741476</v>
      </c>
      <c r="Q386" s="112">
        <v>33454.420967482954</v>
      </c>
      <c r="R386" s="112">
        <v>51422.159868246046</v>
      </c>
      <c r="S386" s="112">
        <v>25.34683516656052</v>
      </c>
      <c r="T386" s="113">
        <v>93105.470512685395</v>
      </c>
      <c r="U386" s="115">
        <v>3232357756.0934</v>
      </c>
      <c r="V386" s="91">
        <v>1</v>
      </c>
      <c r="W386" s="91">
        <v>1</v>
      </c>
      <c r="X386" s="91">
        <v>1</v>
      </c>
      <c r="Y386" s="91">
        <v>1</v>
      </c>
      <c r="Z386" s="91">
        <v>1</v>
      </c>
      <c r="AA386" s="92">
        <v>1</v>
      </c>
      <c r="AB386" s="91">
        <v>1</v>
      </c>
      <c r="AC386" s="91">
        <v>1</v>
      </c>
      <c r="AD386" s="91">
        <v>1</v>
      </c>
      <c r="AE386" s="91">
        <v>1</v>
      </c>
      <c r="AF386" s="90">
        <v>1</v>
      </c>
      <c r="AG386" s="91">
        <v>1</v>
      </c>
      <c r="AH386" s="91">
        <v>1</v>
      </c>
      <c r="AI386" s="91">
        <v>1</v>
      </c>
      <c r="AJ386" s="91">
        <v>1</v>
      </c>
      <c r="AK386" s="93">
        <f t="shared" ref="AK386:AK409" si="56">K386/J386*1000000</f>
        <v>217.92744701217813</v>
      </c>
      <c r="AL386" s="116">
        <f t="shared" ref="AL386:AL409" si="57">(K386*1000-D386)/J386*1000</f>
        <v>179.51924657820561</v>
      </c>
      <c r="AM386" s="117">
        <f t="shared" ref="AM386:AM434" si="58">2*(C386+D386)/J386*1000</f>
        <v>153.6328017358901</v>
      </c>
      <c r="AN386" s="118">
        <f t="shared" ref="AN386:AN409" si="59">(2*C386+D386)/J386*1000</f>
        <v>115.22460130191756</v>
      </c>
      <c r="AO386" s="91" t="str">
        <f>IF(head!$F$82="S460","a","c")</f>
        <v>c</v>
      </c>
      <c r="AP386" s="91">
        <f>IF(AO386="a0",0.13,IF(AO386="a",0.21,IF(AO386="b",0.34,IF(AO386="c",0.49,0.76))))</f>
        <v>0.49</v>
      </c>
      <c r="AQ386" s="96">
        <f>IF(head!F$82="S235",235,IF(head!F$82="S275",275,IF(head!F$82="S355",355,IF(head!F$82="S420",420,460))))^0.5*head!$G$70*1000/(S386*3.1416*210000^0.5)</f>
        <v>5.1633302099254355</v>
      </c>
      <c r="AR386" s="96">
        <f>0.5*(1+AP386*(AQ386-0.2)+AQ386^2)</f>
        <v>15.046005329796053</v>
      </c>
      <c r="AS386" s="96">
        <f>IF(AQ386&lt;=0.2,1,1/(AR386+(AR386^2-AQ386^2)^0.5))</f>
        <v>3.4272021992634641E-2</v>
      </c>
      <c r="AT386" s="50">
        <f>IF(head!F$82="S235",235,IF(head!F$82="S275",275,IF(head!F$82="S355",355,IF(head!F$82="S420",420,460))))*AS386*J386/1000</f>
        <v>31.677005613165413</v>
      </c>
      <c r="AU386" s="198">
        <f t="shared" si="48"/>
        <v>300.01243060736738</v>
      </c>
      <c r="AV386" s="50">
        <f>3.1416*1.13*head!$G$66/(1.4*head!$G$67)*((1+3.1416^2*AU386^2/(1.4*head!$G$67*1000)^2*(0.45^2+1))^0.5+3.1416*0.45*database!AU386/(1.4*head!$G$67*1000))</f>
        <v>15.435288196695508</v>
      </c>
      <c r="AW386" s="50">
        <f>AV386/(head!$G$66*1000)*(210000*database!P386*81000*database!T386)^0.5</f>
        <v>79444943.410961896</v>
      </c>
      <c r="AX386" s="51">
        <f>IF(head!$F$82="S235",database!AF386,(IF(head!$F$82="S275",database!AG386,IF(head!$F$82="S355",database!AH386,IF(head!$F$82="S420",database!AI386,database!AJ386)))))</f>
        <v>1</v>
      </c>
      <c r="AY386" s="50">
        <f t="shared" ref="AY386:AY409" si="60">IF(AX386&lt;=2,N386,M386)</f>
        <v>104213.09842072596</v>
      </c>
      <c r="AZ386" s="197">
        <f>(AY386*VLOOKUP(head!$F$82,head!$L$1:$M$5,2)/AW386)^0.5</f>
        <v>0.68240500067954823</v>
      </c>
      <c r="BA386" s="97" t="str">
        <f t="shared" si="54"/>
        <v>HEB 120</v>
      </c>
    </row>
    <row r="387" spans="1:53">
      <c r="A387" s="109" t="s">
        <v>61</v>
      </c>
      <c r="B387" s="83">
        <f t="shared" si="55"/>
        <v>59.040108893325602</v>
      </c>
      <c r="C387" s="110">
        <v>120</v>
      </c>
      <c r="D387" s="110">
        <v>120</v>
      </c>
      <c r="E387" s="127">
        <v>6.5</v>
      </c>
      <c r="F387" s="110">
        <v>11</v>
      </c>
      <c r="G387" s="110">
        <v>12</v>
      </c>
      <c r="H387" s="111">
        <v>26.6947936643821</v>
      </c>
      <c r="I387" s="112">
        <v>27.204885263064561</v>
      </c>
      <c r="J387" s="112">
        <v>3400.61065788307</v>
      </c>
      <c r="K387" s="112">
        <v>0.686398223686155</v>
      </c>
      <c r="L387" s="113">
        <v>8643725.3076590467</v>
      </c>
      <c r="M387" s="112">
        <v>144062.08846098412</v>
      </c>
      <c r="N387" s="112">
        <v>165212.09434167357</v>
      </c>
      <c r="O387" s="114">
        <v>50.416422184203292</v>
      </c>
      <c r="P387" s="112">
        <v>3175215.9581410554</v>
      </c>
      <c r="Q387" s="112">
        <v>52920.265969017586</v>
      </c>
      <c r="R387" s="112">
        <v>80968.187532716809</v>
      </c>
      <c r="S387" s="112">
        <v>30.55682158874669</v>
      </c>
      <c r="T387" s="113">
        <v>139454.96642675999</v>
      </c>
      <c r="U387" s="115">
        <v>9124726816.9445591</v>
      </c>
      <c r="V387" s="91">
        <v>1</v>
      </c>
      <c r="W387" s="91">
        <v>1</v>
      </c>
      <c r="X387" s="91">
        <v>1</v>
      </c>
      <c r="Y387" s="91">
        <v>1</v>
      </c>
      <c r="Z387" s="91">
        <v>1</v>
      </c>
      <c r="AA387" s="92">
        <v>1</v>
      </c>
      <c r="AB387" s="91">
        <v>1</v>
      </c>
      <c r="AC387" s="91">
        <v>1</v>
      </c>
      <c r="AD387" s="91">
        <v>1</v>
      </c>
      <c r="AE387" s="91">
        <v>1</v>
      </c>
      <c r="AF387" s="90">
        <v>1</v>
      </c>
      <c r="AG387" s="91">
        <v>1</v>
      </c>
      <c r="AH387" s="91">
        <v>1</v>
      </c>
      <c r="AI387" s="91">
        <v>1</v>
      </c>
      <c r="AJ387" s="91">
        <v>1</v>
      </c>
      <c r="AK387" s="93">
        <f t="shared" si="56"/>
        <v>201.84557796847227</v>
      </c>
      <c r="AL387" s="116">
        <f t="shared" si="57"/>
        <v>166.55779819226532</v>
      </c>
      <c r="AM387" s="117">
        <f t="shared" si="58"/>
        <v>141.15111910482781</v>
      </c>
      <c r="AN387" s="118">
        <f t="shared" si="59"/>
        <v>105.86333932862084</v>
      </c>
      <c r="AO387" s="91" t="str">
        <f>IF(head!$F$82="S460","a","c")</f>
        <v>c</v>
      </c>
      <c r="AP387" s="91">
        <f>IF(AO387="a0",0.13,IF(AO387="a",0.21,IF(AO387="b",0.34,IF(AO387="c",0.49,0.76))))</f>
        <v>0.49</v>
      </c>
      <c r="AQ387" s="96">
        <f>IF(head!F$82="S235",235,IF(head!F$82="S275",275,IF(head!F$82="S355",355,IF(head!F$82="S420",420,460))))^0.5*head!$G$70*1000/(S387*3.1416*210000^0.5)</f>
        <v>4.2829742406749522</v>
      </c>
      <c r="AR387" s="96">
        <f>0.5*(1+AP387*(AQ387-0.2)+AQ387^2)</f>
        <v>10.672262862107955</v>
      </c>
      <c r="AS387" s="96">
        <f>IF(AQ387&lt;=0.2,1,1/(AR387+(AR387^2-AQ387^2)^0.5))</f>
        <v>4.8905970905890869E-2</v>
      </c>
      <c r="AT387" s="50">
        <f>IF(head!F$82="S235",235,IF(head!F$82="S275",275,IF(head!F$82="S355",355,IF(head!F$82="S420",420,460))))*AS387*J387/1000</f>
        <v>59.040108893325602</v>
      </c>
      <c r="AU387" s="198">
        <f t="shared" si="48"/>
        <v>411.86992507581289</v>
      </c>
      <c r="AV387" s="50">
        <f>3.1416*1.13*head!$G$66/(1.4*head!$G$67)*((1+3.1416^2*AU387^2/(1.4*head!$G$67*1000)^2*(0.45^2+1))^0.5+3.1416*0.45*database!AU387/(1.4*head!$G$67*1000))</f>
        <v>16.850150643863657</v>
      </c>
      <c r="AW387" s="50">
        <f>AV387/(head!$G$66*1000)*(210000*database!P387*81000*database!T387)^0.5</f>
        <v>146237775.36107391</v>
      </c>
      <c r="AX387" s="51">
        <f>IF(head!$F$82="S235",database!AF387,(IF(head!$F$82="S275",database!AG387,IF(head!$F$82="S355",database!AH387,IF(head!$F$82="S420",database!AI387,database!AJ387)))))</f>
        <v>1</v>
      </c>
      <c r="AY387" s="50">
        <f t="shared" si="60"/>
        <v>165212.09434167357</v>
      </c>
      <c r="AZ387" s="197">
        <f>(AY387*VLOOKUP(head!$F$82,head!$L$1:$M$5,2)/AW387)^0.5</f>
        <v>0.63329390602944402</v>
      </c>
      <c r="BA387" s="97" t="str">
        <f t="shared" si="54"/>
        <v>HEB 140</v>
      </c>
    </row>
    <row r="388" spans="1:53">
      <c r="A388" s="109" t="s">
        <v>62</v>
      </c>
      <c r="B388" s="83">
        <f t="shared" si="55"/>
        <v>100.32825826424369</v>
      </c>
      <c r="C388" s="110">
        <v>140</v>
      </c>
      <c r="D388" s="110">
        <v>140</v>
      </c>
      <c r="E388" s="127">
        <v>7</v>
      </c>
      <c r="F388" s="110">
        <v>12</v>
      </c>
      <c r="G388" s="110">
        <v>12</v>
      </c>
      <c r="H388" s="111">
        <v>33.720543664382092</v>
      </c>
      <c r="I388" s="112">
        <v>34.364885263064558</v>
      </c>
      <c r="J388" s="112">
        <v>4295.6106578830695</v>
      </c>
      <c r="K388" s="112">
        <v>0.80539822368615499</v>
      </c>
      <c r="L388" s="113">
        <v>15092308.802431032</v>
      </c>
      <c r="M388" s="112">
        <v>215604.41146330046</v>
      </c>
      <c r="N388" s="112">
        <v>245426.0902626212</v>
      </c>
      <c r="O388" s="114">
        <v>59.274156943282939</v>
      </c>
      <c r="P388" s="112">
        <v>5496663.1109068645</v>
      </c>
      <c r="Q388" s="112">
        <v>78523.758727240915</v>
      </c>
      <c r="R388" s="112">
        <v>119784.96519718757</v>
      </c>
      <c r="S388" s="112">
        <v>35.771496099634476</v>
      </c>
      <c r="T388" s="113">
        <v>201977.99803147299</v>
      </c>
      <c r="U388" s="115">
        <v>21964831790.958698</v>
      </c>
      <c r="V388" s="91">
        <v>1</v>
      </c>
      <c r="W388" s="91">
        <v>1</v>
      </c>
      <c r="X388" s="91">
        <v>1</v>
      </c>
      <c r="Y388" s="91">
        <v>1</v>
      </c>
      <c r="Z388" s="91">
        <v>1</v>
      </c>
      <c r="AA388" s="92">
        <v>1</v>
      </c>
      <c r="AB388" s="91">
        <v>1</v>
      </c>
      <c r="AC388" s="91">
        <v>1</v>
      </c>
      <c r="AD388" s="91">
        <v>1</v>
      </c>
      <c r="AE388" s="91">
        <v>1</v>
      </c>
      <c r="AF388" s="90">
        <v>1</v>
      </c>
      <c r="AG388" s="91">
        <v>1</v>
      </c>
      <c r="AH388" s="91">
        <v>1</v>
      </c>
      <c r="AI388" s="91">
        <v>1</v>
      </c>
      <c r="AJ388" s="91">
        <v>1</v>
      </c>
      <c r="AK388" s="93">
        <f t="shared" si="56"/>
        <v>187.49330137919557</v>
      </c>
      <c r="AL388" s="116">
        <f t="shared" si="57"/>
        <v>154.90189327681563</v>
      </c>
      <c r="AM388" s="117">
        <f t="shared" si="58"/>
        <v>130.36563240951983</v>
      </c>
      <c r="AN388" s="118">
        <f t="shared" si="59"/>
        <v>97.774224307139889</v>
      </c>
      <c r="AO388" s="91" t="str">
        <f>IF(head!$F$82="S460","a","c")</f>
        <v>c</v>
      </c>
      <c r="AP388" s="91">
        <f>IF(AO388="a0",0.13,IF(AO388="a",0.21,IF(AO388="b",0.34,IF(AO388="c",0.49,0.76))))</f>
        <v>0.49</v>
      </c>
      <c r="AQ388" s="96">
        <f>IF(head!F$82="S235",235,IF(head!F$82="S275",275,IF(head!F$82="S355",355,IF(head!F$82="S420",420,460))))^0.5*head!$G$70*1000/(S388*3.1416*210000^0.5)</f>
        <v>3.6586135334395382</v>
      </c>
      <c r="AR388" s="96">
        <f>0.5*(1+AP388*(AQ388-0.2)+AQ388^2)</f>
        <v>8.0400868092261586</v>
      </c>
      <c r="AS388" s="96">
        <f>IF(AQ388&lt;=0.2,1,1/(AR388+(AR388^2-AQ388^2)^0.5))</f>
        <v>6.5791533386135637E-2</v>
      </c>
      <c r="AT388" s="50">
        <f>IF(head!F$82="S235",235,IF(head!F$82="S275",275,IF(head!F$82="S355",355,IF(head!F$82="S420",420,460))))*AS388*J388/1000</f>
        <v>100.32825826424369</v>
      </c>
      <c r="AU388" s="198">
        <f t="shared" si="48"/>
        <v>530.9810808183106</v>
      </c>
      <c r="AV388" s="50">
        <f>3.1416*1.13*head!$G$66/(1.4*head!$G$67)*((1+3.1416^2*AU388^2/(1.4*head!$G$67*1000)^2*(0.45^2+1))^0.5+3.1416*0.45*database!AU388/(1.4*head!$G$67*1000))</f>
        <v>18.543486178513547</v>
      </c>
      <c r="AW388" s="50">
        <f>AV388/(head!$G$66*1000)*(210000*database!P388*81000*database!T388)^0.5</f>
        <v>254826819.21647444</v>
      </c>
      <c r="AX388" s="51">
        <f>IF(head!$F$82="S235",database!AF388,(IF(head!$F$82="S275",database!AG388,IF(head!$F$82="S355",database!AH388,IF(head!$F$82="S420",database!AI388,database!AJ388)))))</f>
        <v>1</v>
      </c>
      <c r="AY388" s="50">
        <f t="shared" si="60"/>
        <v>245426.0902626212</v>
      </c>
      <c r="AZ388" s="197">
        <f>(AY388*VLOOKUP(head!$F$82,head!$L$1:$M$5,2)/AW388)^0.5</f>
        <v>0.58472541977046999</v>
      </c>
      <c r="BA388" s="97" t="str">
        <f t="shared" si="54"/>
        <v>HEB 160</v>
      </c>
    </row>
    <row r="389" spans="1:53">
      <c r="A389" s="109" t="s">
        <v>63</v>
      </c>
      <c r="B389" s="83">
        <f t="shared" si="55"/>
        <v>159.56482889606747</v>
      </c>
      <c r="C389" s="110">
        <v>160</v>
      </c>
      <c r="D389" s="110">
        <v>160</v>
      </c>
      <c r="E389" s="127">
        <v>8</v>
      </c>
      <c r="F389" s="110">
        <v>13</v>
      </c>
      <c r="G389" s="110">
        <v>15</v>
      </c>
      <c r="H389" s="111">
        <v>42.587361975597034</v>
      </c>
      <c r="I389" s="112">
        <v>43.401133223538373</v>
      </c>
      <c r="J389" s="112">
        <v>5425.1416529422968</v>
      </c>
      <c r="K389" s="112">
        <v>0.91824777960769377</v>
      </c>
      <c r="L389" s="113">
        <v>24920010.247533977</v>
      </c>
      <c r="M389" s="112">
        <v>311500.12809417472</v>
      </c>
      <c r="N389" s="112">
        <v>353965.36595299939</v>
      </c>
      <c r="O389" s="114">
        <v>67.774850323213073</v>
      </c>
      <c r="P389" s="112">
        <v>8892347.3546901736</v>
      </c>
      <c r="Q389" s="112">
        <v>111154.34193362718</v>
      </c>
      <c r="R389" s="112">
        <v>169963.69140590364</v>
      </c>
      <c r="S389" s="112">
        <v>40.485794678719358</v>
      </c>
      <c r="T389" s="113">
        <v>312489.08404467697</v>
      </c>
      <c r="U389" s="115">
        <v>46665099831.053101</v>
      </c>
      <c r="V389" s="91">
        <v>1</v>
      </c>
      <c r="W389" s="91">
        <v>1</v>
      </c>
      <c r="X389" s="91">
        <v>1</v>
      </c>
      <c r="Y389" s="91">
        <v>1</v>
      </c>
      <c r="Z389" s="91">
        <v>1</v>
      </c>
      <c r="AA389" s="92">
        <v>1</v>
      </c>
      <c r="AB389" s="91">
        <v>1</v>
      </c>
      <c r="AC389" s="91">
        <v>1</v>
      </c>
      <c r="AD389" s="91">
        <v>1</v>
      </c>
      <c r="AE389" s="91">
        <v>1</v>
      </c>
      <c r="AF389" s="90">
        <v>1</v>
      </c>
      <c r="AG389" s="91">
        <v>1</v>
      </c>
      <c r="AH389" s="91">
        <v>1</v>
      </c>
      <c r="AI389" s="91">
        <v>1</v>
      </c>
      <c r="AJ389" s="91">
        <v>1</v>
      </c>
      <c r="AK389" s="93">
        <f t="shared" si="56"/>
        <v>169.25784400665131</v>
      </c>
      <c r="AL389" s="116">
        <f t="shared" si="57"/>
        <v>139.76552652712064</v>
      </c>
      <c r="AM389" s="117">
        <f t="shared" si="58"/>
        <v>117.96926991812268</v>
      </c>
      <c r="AN389" s="118">
        <f t="shared" si="59"/>
        <v>88.476952438592008</v>
      </c>
      <c r="AO389" s="91" t="str">
        <f>IF(head!$F$82="S460","a","c")</f>
        <v>c</v>
      </c>
      <c r="AP389" s="91">
        <f>IF(AO389="a0",0.13,IF(AO389="a",0.21,IF(AO389="b",0.34,IF(AO389="c",0.49,0.76))))</f>
        <v>0.49</v>
      </c>
      <c r="AQ389" s="96">
        <f>IF(head!F$82="S235",235,IF(head!F$82="S275",275,IF(head!F$82="S355",355,IF(head!F$82="S420",420,460))))^0.5*head!$G$70*1000/(S389*3.1416*210000^0.5)</f>
        <v>3.2325925866114718</v>
      </c>
      <c r="AR389" s="96">
        <f>0.5*(1+AP389*(AQ389-0.2)+AQ389^2)</f>
        <v>6.4678125992275337</v>
      </c>
      <c r="AS389" s="96">
        <f>IF(AQ389&lt;=0.2,1,1/(AR389+(AR389^2-AQ389^2)^0.5))</f>
        <v>8.2850996344538907E-2</v>
      </c>
      <c r="AT389" s="50">
        <f>IF(head!F$82="S235",235,IF(head!F$82="S275",275,IF(head!F$82="S355",355,IF(head!F$82="S420",420,460))))*AS389*J389/1000</f>
        <v>159.56482889606747</v>
      </c>
      <c r="AU389" s="198">
        <f t="shared" si="48"/>
        <v>622.22264410602497</v>
      </c>
      <c r="AV389" s="50">
        <f>3.1416*1.13*head!$G$66/(1.4*head!$G$67)*((1+3.1416^2*AU389^2/(1.4*head!$G$67*1000)^2*(0.45^2+1))^0.5+3.1416*0.45*database!AU389/(1.4*head!$G$67*1000))</f>
        <v>19.950535943527832</v>
      </c>
      <c r="AW389" s="50">
        <f>AV389/(head!$G$66*1000)*(210000*database!P389*81000*database!T389)^0.5</f>
        <v>433742879.85715818</v>
      </c>
      <c r="AX389" s="51">
        <f>IF(head!$F$82="S235",database!AF389,(IF(head!$F$82="S275",database!AG389,IF(head!$F$82="S355",database!AH389,IF(head!$F$82="S420",database!AI389,database!AJ389)))))</f>
        <v>1</v>
      </c>
      <c r="AY389" s="50">
        <f t="shared" si="60"/>
        <v>353965.36595299939</v>
      </c>
      <c r="AZ389" s="197">
        <f>(AY389*VLOOKUP(head!$F$82,head!$L$1:$M$5,2)/AW389)^0.5</f>
        <v>0.53824298993516428</v>
      </c>
      <c r="BA389" s="97" t="str">
        <f t="shared" si="54"/>
        <v>HEB 180</v>
      </c>
    </row>
    <row r="390" spans="1:53">
      <c r="A390" s="109" t="s">
        <v>64</v>
      </c>
      <c r="B390" s="83">
        <f t="shared" si="55"/>
        <v>239.87831190699245</v>
      </c>
      <c r="C390" s="110">
        <v>180</v>
      </c>
      <c r="D390" s="110">
        <v>180</v>
      </c>
      <c r="E390" s="127">
        <v>8.5</v>
      </c>
      <c r="F390" s="110">
        <v>14</v>
      </c>
      <c r="G390" s="110">
        <v>15</v>
      </c>
      <c r="H390" s="111">
        <v>51.222361975597032</v>
      </c>
      <c r="I390" s="112">
        <v>52.201133223538378</v>
      </c>
      <c r="J390" s="112">
        <v>6525.1416529422968</v>
      </c>
      <c r="K390" s="112">
        <v>1.0372477796076938</v>
      </c>
      <c r="L390" s="113">
        <v>38311329.975242957</v>
      </c>
      <c r="M390" s="112">
        <v>425681.44416936621</v>
      </c>
      <c r="N390" s="112">
        <v>481447.64082948008</v>
      </c>
      <c r="O390" s="114">
        <v>76.624674439493049</v>
      </c>
      <c r="P390" s="112">
        <v>13628464.1884131</v>
      </c>
      <c r="Q390" s="112">
        <v>151427.37987125668</v>
      </c>
      <c r="R390" s="112">
        <v>231013.47681913924</v>
      </c>
      <c r="S390" s="112">
        <v>45.701292906449368</v>
      </c>
      <c r="T390" s="113">
        <v>422447.86882266501</v>
      </c>
      <c r="U390" s="115">
        <v>91725400166.341995</v>
      </c>
      <c r="V390" s="91">
        <v>1</v>
      </c>
      <c r="W390" s="91">
        <v>1</v>
      </c>
      <c r="X390" s="91">
        <v>1</v>
      </c>
      <c r="Y390" s="91">
        <v>1</v>
      </c>
      <c r="Z390" s="91">
        <v>1</v>
      </c>
      <c r="AA390" s="92">
        <v>1</v>
      </c>
      <c r="AB390" s="91">
        <v>1</v>
      </c>
      <c r="AC390" s="91">
        <v>1</v>
      </c>
      <c r="AD390" s="91">
        <v>1</v>
      </c>
      <c r="AE390" s="91">
        <v>1</v>
      </c>
      <c r="AF390" s="90">
        <v>1</v>
      </c>
      <c r="AG390" s="91">
        <v>1</v>
      </c>
      <c r="AH390" s="91">
        <v>1</v>
      </c>
      <c r="AI390" s="91">
        <v>1</v>
      </c>
      <c r="AJ390" s="91">
        <v>1</v>
      </c>
      <c r="AK390" s="93">
        <f t="shared" si="56"/>
        <v>158.96172600942404</v>
      </c>
      <c r="AL390" s="116">
        <f t="shared" si="57"/>
        <v>131.37611797609731</v>
      </c>
      <c r="AM390" s="117">
        <f t="shared" si="58"/>
        <v>110.342432133307</v>
      </c>
      <c r="AN390" s="118">
        <f t="shared" si="59"/>
        <v>82.756824099980236</v>
      </c>
      <c r="AO390" s="91" t="str">
        <f>IF(head!$F$82="S460","a","c")</f>
        <v>c</v>
      </c>
      <c r="AP390" s="91">
        <f>IF(AO390="a0",0.13,IF(AO390="a",0.21,IF(AO390="b",0.34,IF(AO390="c",0.49,0.76))))</f>
        <v>0.49</v>
      </c>
      <c r="AQ390" s="96">
        <f>IF(head!F$82="S235",235,IF(head!F$82="S275",275,IF(head!F$82="S355",355,IF(head!F$82="S420",420,460))))^0.5*head!$G$70*1000/(S390*3.1416*210000^0.5)</f>
        <v>2.8636844040583673</v>
      </c>
      <c r="AR390" s="96">
        <f>0.5*(1+AP390*(AQ390-0.2)+AQ390^2)</f>
        <v>5.252946862017863</v>
      </c>
      <c r="AS390" s="96">
        <f>IF(AQ390&lt;=0.2,1,1/(AR390+(AR390^2-AQ390^2)^0.5))</f>
        <v>0.10355538478814381</v>
      </c>
      <c r="AT390" s="50">
        <f>IF(head!F$82="S235",235,IF(head!F$82="S275",275,IF(head!F$82="S355",355,IF(head!F$82="S420",420,460))))*AS390*J390/1000</f>
        <v>239.87831190699245</v>
      </c>
      <c r="AU390" s="198">
        <f t="shared" si="48"/>
        <v>750.28347933748535</v>
      </c>
      <c r="AV390" s="50">
        <f>3.1416*1.13*head!$G$66/(1.4*head!$G$67)*((1+3.1416^2*AU390^2/(1.4*head!$G$67*1000)^2*(0.45^2+1))^0.5+3.1416*0.45*database!AU390/(1.4*head!$G$67*1000))</f>
        <v>22.057712053796852</v>
      </c>
      <c r="AW390" s="50">
        <f>AV390/(head!$G$66*1000)*(210000*database!P390*81000*database!T390)^0.5</f>
        <v>690275787.76447535</v>
      </c>
      <c r="AX390" s="51">
        <f>IF(head!$F$82="S235",database!AF390,(IF(head!$F$82="S275",database!AG390,IF(head!$F$82="S355",database!AH390,IF(head!$F$82="S420",database!AI390,database!AJ390)))))</f>
        <v>1</v>
      </c>
      <c r="AY390" s="50">
        <f t="shared" si="60"/>
        <v>481447.64082948008</v>
      </c>
      <c r="AZ390" s="197">
        <f>(AY390*VLOOKUP(head!$F$82,head!$L$1:$M$5,2)/AW390)^0.5</f>
        <v>0.49759658125043632</v>
      </c>
      <c r="BA390" s="97" t="str">
        <f t="shared" si="54"/>
        <v>HEB 200</v>
      </c>
    </row>
    <row r="391" spans="1:53">
      <c r="A391" s="109" t="s">
        <v>65</v>
      </c>
      <c r="B391" s="83">
        <f t="shared" si="55"/>
        <v>346.04063638408002</v>
      </c>
      <c r="C391" s="110">
        <v>200</v>
      </c>
      <c r="D391" s="110">
        <v>200</v>
      </c>
      <c r="E391" s="127">
        <v>9</v>
      </c>
      <c r="F391" s="110">
        <v>15</v>
      </c>
      <c r="G391" s="110">
        <v>18</v>
      </c>
      <c r="H391" s="111">
        <v>61.293773244859729</v>
      </c>
      <c r="I391" s="112">
        <v>62.464991841895262</v>
      </c>
      <c r="J391" s="112">
        <v>7808.1239802369073</v>
      </c>
      <c r="K391" s="112">
        <v>1.1510973355292327</v>
      </c>
      <c r="L391" s="113">
        <v>56961760.589682661</v>
      </c>
      <c r="M391" s="112">
        <v>569617.6058968266</v>
      </c>
      <c r="N391" s="112">
        <v>642547.30667587277</v>
      </c>
      <c r="O391" s="114">
        <v>85.411893873293721</v>
      </c>
      <c r="P391" s="112">
        <v>20033687.807394125</v>
      </c>
      <c r="Q391" s="112">
        <v>200336.87807394125</v>
      </c>
      <c r="R391" s="112">
        <v>305812.28955533041</v>
      </c>
      <c r="S391" s="112">
        <v>50.653224910181059</v>
      </c>
      <c r="T391" s="113">
        <v>596001.62994367699</v>
      </c>
      <c r="U391" s="115">
        <v>167059855970.74799</v>
      </c>
      <c r="V391" s="91">
        <v>1</v>
      </c>
      <c r="W391" s="91">
        <v>1</v>
      </c>
      <c r="X391" s="91">
        <v>1</v>
      </c>
      <c r="Y391" s="91">
        <v>1</v>
      </c>
      <c r="Z391" s="91">
        <v>1</v>
      </c>
      <c r="AA391" s="92">
        <v>1</v>
      </c>
      <c r="AB391" s="91">
        <v>1</v>
      </c>
      <c r="AC391" s="91">
        <v>1</v>
      </c>
      <c r="AD391" s="91">
        <v>1</v>
      </c>
      <c r="AE391" s="91">
        <v>1</v>
      </c>
      <c r="AF391" s="90">
        <v>1</v>
      </c>
      <c r="AG391" s="91">
        <v>1</v>
      </c>
      <c r="AH391" s="91">
        <v>1</v>
      </c>
      <c r="AI391" s="91">
        <v>1</v>
      </c>
      <c r="AJ391" s="91">
        <v>1</v>
      </c>
      <c r="AK391" s="93">
        <f t="shared" si="56"/>
        <v>147.42303509047343</v>
      </c>
      <c r="AL391" s="116">
        <f t="shared" si="57"/>
        <v>121.8086877125093</v>
      </c>
      <c r="AM391" s="117">
        <f t="shared" si="58"/>
        <v>102.45738951185649</v>
      </c>
      <c r="AN391" s="118">
        <f t="shared" si="59"/>
        <v>76.843042133892354</v>
      </c>
      <c r="AO391" s="91" t="str">
        <f>IF(head!$F$82="S460","a","c")</f>
        <v>c</v>
      </c>
      <c r="AP391" s="91">
        <f t="shared" ref="AP391:AP398" si="61">IF(AO391="a0",0.13,IF(AO391="a",0.21,IF(AO391="b",0.34,IF(AO391="c",0.49,0.76))))</f>
        <v>0.49</v>
      </c>
      <c r="AQ391" s="96">
        <f>IF(head!F$82="S235",235,IF(head!F$82="S275",275,IF(head!F$82="S355",355,IF(head!F$82="S420",420,460))))^0.5*head!$G$70*1000/(S391*3.1416*210000^0.5)</f>
        <v>2.5837265045526703</v>
      </c>
      <c r="AR391" s="96">
        <f t="shared" ref="AR391:AR398" si="62">0.5*(1+AP391*(AQ391-0.2)+AQ391^2)</f>
        <v>4.4218343187793838</v>
      </c>
      <c r="AS391" s="96">
        <f t="shared" ref="AS391:AS398" si="63">IF(AQ391&lt;=0.2,1,1/(AR391+(AR391^2-AQ391^2)^0.5))</f>
        <v>0.12483950798920557</v>
      </c>
      <c r="AT391" s="50">
        <f>IF(head!F$82="S235",235,IF(head!F$82="S275",275,IF(head!F$82="S355",355,IF(head!F$82="S420",420,460))))*AS391*J391/1000</f>
        <v>346.04063638408002</v>
      </c>
      <c r="AU391" s="198">
        <f t="shared" si="48"/>
        <v>852.47070903545386</v>
      </c>
      <c r="AV391" s="50">
        <f>3.1416*1.13*head!$G$66/(1.4*head!$G$67)*((1+3.1416^2*AU391^2/(1.4*head!$G$67*1000)^2*(0.45^2+1))^0.5+3.1416*0.45*database!AU391/(1.4*head!$G$67*1000))</f>
        <v>23.830474818703042</v>
      </c>
      <c r="AW391" s="50">
        <f>AV391/(head!$G$66*1000)*(210000*database!P391*81000*database!T391)^0.5</f>
        <v>1073962277.1651626</v>
      </c>
      <c r="AX391" s="51">
        <f>IF(head!$F$82="S235",database!AF391,(IF(head!$F$82="S275",database!AG391,IF(head!$F$82="S355",database!AH391,IF(head!$F$82="S420",database!AI391,database!AJ391)))))</f>
        <v>1</v>
      </c>
      <c r="AY391" s="50">
        <f t="shared" si="60"/>
        <v>642547.30667587277</v>
      </c>
      <c r="AZ391" s="197">
        <f>(AY391*VLOOKUP(head!$F$82,head!$L$1:$M$5,2)/AW391)^0.5</f>
        <v>0.46086339708924462</v>
      </c>
      <c r="BA391" s="97" t="str">
        <f t="shared" si="54"/>
        <v>HEB 220</v>
      </c>
    </row>
    <row r="392" spans="1:53">
      <c r="A392" s="109" t="s">
        <v>66</v>
      </c>
      <c r="B392" s="83">
        <f t="shared" si="55"/>
        <v>481.12830418045718</v>
      </c>
      <c r="C392" s="110">
        <v>220</v>
      </c>
      <c r="D392" s="110">
        <v>220</v>
      </c>
      <c r="E392" s="127">
        <v>9.5</v>
      </c>
      <c r="F392" s="110">
        <v>16</v>
      </c>
      <c r="G392" s="110">
        <v>18</v>
      </c>
      <c r="H392" s="111">
        <v>71.467373244859729</v>
      </c>
      <c r="I392" s="112">
        <v>72.83299184189525</v>
      </c>
      <c r="J392" s="112">
        <v>9104.1239802369073</v>
      </c>
      <c r="K392" s="112">
        <v>1.2700973355292327</v>
      </c>
      <c r="L392" s="113">
        <v>80909652.152247563</v>
      </c>
      <c r="M392" s="112">
        <v>735542.29229315964</v>
      </c>
      <c r="N392" s="112">
        <v>827047.42249800498</v>
      </c>
      <c r="O392" s="114">
        <v>94.271644991720365</v>
      </c>
      <c r="P392" s="112">
        <v>28432661.459920555</v>
      </c>
      <c r="Q392" s="112">
        <v>258478.74054473231</v>
      </c>
      <c r="R392" s="112">
        <v>393881.07055038959</v>
      </c>
      <c r="S392" s="112">
        <v>55.884281982122822</v>
      </c>
      <c r="T392" s="113">
        <v>770316.57900687004</v>
      </c>
      <c r="U392" s="115">
        <v>289504007156.59601</v>
      </c>
      <c r="V392" s="91">
        <v>1</v>
      </c>
      <c r="W392" s="91">
        <v>1</v>
      </c>
      <c r="X392" s="91">
        <v>1</v>
      </c>
      <c r="Y392" s="91">
        <v>1</v>
      </c>
      <c r="Z392" s="91">
        <v>1</v>
      </c>
      <c r="AA392" s="92">
        <v>1</v>
      </c>
      <c r="AB392" s="91">
        <v>1</v>
      </c>
      <c r="AC392" s="91">
        <v>1</v>
      </c>
      <c r="AD392" s="91">
        <v>1</v>
      </c>
      <c r="AE392" s="91">
        <v>1</v>
      </c>
      <c r="AF392" s="90">
        <v>1</v>
      </c>
      <c r="AG392" s="91">
        <v>1</v>
      </c>
      <c r="AH392" s="91">
        <v>1</v>
      </c>
      <c r="AI392" s="91">
        <v>1</v>
      </c>
      <c r="AJ392" s="91">
        <v>1</v>
      </c>
      <c r="AK392" s="93">
        <f t="shared" si="56"/>
        <v>139.50791292894743</v>
      </c>
      <c r="AL392" s="116">
        <f t="shared" si="57"/>
        <v>115.34303990244067</v>
      </c>
      <c r="AM392" s="117">
        <f t="shared" si="58"/>
        <v>96.659492106026946</v>
      </c>
      <c r="AN392" s="118">
        <f t="shared" si="59"/>
        <v>72.494619079520206</v>
      </c>
      <c r="AO392" s="91" t="str">
        <f>IF(head!$F$82="S460","a","c")</f>
        <v>c</v>
      </c>
      <c r="AP392" s="91">
        <f t="shared" si="61"/>
        <v>0.49</v>
      </c>
      <c r="AQ392" s="96">
        <f>IF(head!F$82="S235",235,IF(head!F$82="S275",275,IF(head!F$82="S355",355,IF(head!F$82="S420",420,460))))^0.5*head!$G$70*1000/(S392*3.1416*210000^0.5)</f>
        <v>2.3418763756035821</v>
      </c>
      <c r="AR392" s="96">
        <f t="shared" si="62"/>
        <v>3.7669521913279627</v>
      </c>
      <c r="AS392" s="96">
        <f t="shared" si="63"/>
        <v>0.14886561305991369</v>
      </c>
      <c r="AT392" s="50">
        <f>IF(head!F$82="S235",235,IF(head!F$82="S275",275,IF(head!F$82="S355",355,IF(head!F$82="S420",420,460))))*AS392*J392/1000</f>
        <v>481.12830418045718</v>
      </c>
      <c r="AU392" s="198">
        <f t="shared" si="48"/>
        <v>987.09693891169513</v>
      </c>
      <c r="AV392" s="50">
        <f>3.1416*1.13*head!$G$66/(1.4*head!$G$67)*((1+3.1416^2*AU392^2/(1.4*head!$G$67*1000)^2*(0.45^2+1))^0.5+3.1416*0.45*database!AU392/(1.4*head!$G$67*1000))</f>
        <v>26.264946904020331</v>
      </c>
      <c r="AW392" s="50">
        <f>AV392/(head!$G$66*1000)*(210000*database!P392*81000*database!T392)^0.5</f>
        <v>1603142263.4257784</v>
      </c>
      <c r="AX392" s="51">
        <f>IF(head!$F$82="S235",database!AF392,(IF(head!$F$82="S275",database!AG392,IF(head!$F$82="S355",database!AH392,IF(head!$F$82="S420",database!AI392,database!AJ392)))))</f>
        <v>1</v>
      </c>
      <c r="AY392" s="50">
        <f t="shared" si="60"/>
        <v>827047.42249800498</v>
      </c>
      <c r="AZ392" s="197">
        <f>(AY392*VLOOKUP(head!$F$82,head!$L$1:$M$5,2)/AW392)^0.5</f>
        <v>0.42795031562930091</v>
      </c>
      <c r="BA392" s="97" t="str">
        <f t="shared" si="54"/>
        <v>HEB 240</v>
      </c>
    </row>
    <row r="393" spans="1:53">
      <c r="A393" s="109" t="s">
        <v>237</v>
      </c>
      <c r="B393" s="83">
        <f t="shared" si="55"/>
        <v>650.52677881440809</v>
      </c>
      <c r="C393" s="110">
        <v>240</v>
      </c>
      <c r="D393" s="110">
        <v>240</v>
      </c>
      <c r="E393" s="127">
        <v>10</v>
      </c>
      <c r="F393" s="110">
        <v>17</v>
      </c>
      <c r="G393" s="110">
        <v>21</v>
      </c>
      <c r="H393" s="111">
        <v>83.198677472170175</v>
      </c>
      <c r="I393" s="112">
        <v>84.788461118135217</v>
      </c>
      <c r="J393" s="112">
        <v>10598.557639766901</v>
      </c>
      <c r="K393" s="112">
        <v>1.3839468914507713</v>
      </c>
      <c r="L393" s="113">
        <v>112593047.21624359</v>
      </c>
      <c r="M393" s="112">
        <v>938275.39346869662</v>
      </c>
      <c r="N393" s="112">
        <v>1053145.7264608857</v>
      </c>
      <c r="O393" s="114">
        <v>103.07003024636219</v>
      </c>
      <c r="P393" s="112">
        <v>39226586.610933393</v>
      </c>
      <c r="Q393" s="112">
        <v>326888.22175777826</v>
      </c>
      <c r="R393" s="112">
        <v>498418.49863393942</v>
      </c>
      <c r="S393" s="112">
        <v>60.836872017178699</v>
      </c>
      <c r="T393" s="113">
        <v>1036217.2074635699</v>
      </c>
      <c r="U393" s="115">
        <v>476272841888.93799</v>
      </c>
      <c r="V393" s="91">
        <v>1</v>
      </c>
      <c r="W393" s="91">
        <v>1</v>
      </c>
      <c r="X393" s="91">
        <v>1</v>
      </c>
      <c r="Y393" s="91">
        <v>1</v>
      </c>
      <c r="Z393" s="91">
        <v>1</v>
      </c>
      <c r="AA393" s="92">
        <v>1</v>
      </c>
      <c r="AB393" s="91">
        <v>1</v>
      </c>
      <c r="AC393" s="91">
        <v>1</v>
      </c>
      <c r="AD393" s="91">
        <v>1</v>
      </c>
      <c r="AE393" s="91">
        <v>2</v>
      </c>
      <c r="AF393" s="90">
        <v>1</v>
      </c>
      <c r="AG393" s="91">
        <v>1</v>
      </c>
      <c r="AH393" s="91">
        <v>1</v>
      </c>
      <c r="AI393" s="91">
        <v>1</v>
      </c>
      <c r="AJ393" s="91">
        <v>1</v>
      </c>
      <c r="AK393" s="93">
        <f t="shared" si="56"/>
        <v>130.57879557667897</v>
      </c>
      <c r="AL393" s="116">
        <f t="shared" si="57"/>
        <v>107.93420485430606</v>
      </c>
      <c r="AM393" s="117">
        <f t="shared" si="58"/>
        <v>90.578362889491601</v>
      </c>
      <c r="AN393" s="118">
        <f t="shared" si="59"/>
        <v>67.933772167118704</v>
      </c>
      <c r="AO393" s="91" t="str">
        <f>IF(head!$F$82="S460","a","c")</f>
        <v>c</v>
      </c>
      <c r="AP393" s="91">
        <f t="shared" si="61"/>
        <v>0.49</v>
      </c>
      <c r="AQ393" s="96">
        <f>IF(head!F$82="S235",235,IF(head!F$82="S275",275,IF(head!F$82="S355",355,IF(head!F$82="S420",420,460))))^0.5*head!$G$70*1000/(S393*3.1416*210000^0.5)</f>
        <v>2.1512295981382317</v>
      </c>
      <c r="AR393" s="96">
        <f t="shared" si="62"/>
        <v>3.2919456434968559</v>
      </c>
      <c r="AS393" s="96">
        <f t="shared" si="63"/>
        <v>0.17289803591779196</v>
      </c>
      <c r="AT393" s="50">
        <f>IF(head!F$82="S235",235,IF(head!F$82="S275",275,IF(head!F$82="S355",355,IF(head!F$82="S420",420,460))))*AS393*J393/1000</f>
        <v>650.52677881440809</v>
      </c>
      <c r="AU393" s="198">
        <f t="shared" si="48"/>
        <v>1091.6153824145927</v>
      </c>
      <c r="AV393" s="50">
        <f>3.1416*1.13*head!$G$66/(1.4*head!$G$67)*((1+3.1416^2*AU393^2/(1.4*head!$G$67*1000)^2*(0.45^2+1))^0.5+3.1416*0.45*database!AU393/(1.4*head!$G$67*1000))</f>
        <v>28.217982411399547</v>
      </c>
      <c r="AW393" s="50">
        <f>AV393/(head!$G$66*1000)*(210000*database!P393*81000*database!T393)^0.5</f>
        <v>2346355289.9886541</v>
      </c>
      <c r="AX393" s="51">
        <f>IF(head!$F$82="S235",database!AF393,(IF(head!$F$82="S275",database!AG393,IF(head!$F$82="S355",database!AH393,IF(head!$F$82="S420",database!AI393,database!AJ393)))))</f>
        <v>1</v>
      </c>
      <c r="AY393" s="50">
        <f t="shared" si="60"/>
        <v>1053145.7264608857</v>
      </c>
      <c r="AZ393" s="197">
        <f>(AY393*VLOOKUP(head!$F$82,head!$L$1:$M$5,2)/AW393)^0.5</f>
        <v>0.39917333654359516</v>
      </c>
      <c r="BA393" s="97" t="str">
        <f t="shared" si="54"/>
        <v>HEB 260</v>
      </c>
    </row>
    <row r="394" spans="1:53">
      <c r="A394" s="109" t="s">
        <v>238</v>
      </c>
      <c r="B394" s="83">
        <f t="shared" si="55"/>
        <v>833.65861089986902</v>
      </c>
      <c r="C394" s="110">
        <v>260</v>
      </c>
      <c r="D394" s="110">
        <v>260</v>
      </c>
      <c r="E394" s="127">
        <v>10</v>
      </c>
      <c r="F394" s="110">
        <v>17.5</v>
      </c>
      <c r="G394" s="110">
        <v>24</v>
      </c>
      <c r="H394" s="111">
        <v>92.978874657528394</v>
      </c>
      <c r="I394" s="112">
        <v>94.755541052258238</v>
      </c>
      <c r="J394" s="112">
        <v>11844.44263153228</v>
      </c>
      <c r="K394" s="112">
        <v>1.4987964473723101</v>
      </c>
      <c r="L394" s="113">
        <v>149194267.87309265</v>
      </c>
      <c r="M394" s="112">
        <v>1147648.2144084051</v>
      </c>
      <c r="N394" s="112">
        <v>1282911.6728906066</v>
      </c>
      <c r="O394" s="114">
        <v>112.23253034034182</v>
      </c>
      <c r="P394" s="112">
        <v>51345173.325392626</v>
      </c>
      <c r="Q394" s="112">
        <v>394962.87173378945</v>
      </c>
      <c r="R394" s="112">
        <v>602247.83631443605</v>
      </c>
      <c r="S394" s="112">
        <v>65.840405616969463</v>
      </c>
      <c r="T394" s="113">
        <v>1257549.6231478001</v>
      </c>
      <c r="U394" s="115">
        <v>736263734656.45898</v>
      </c>
      <c r="V394" s="91">
        <v>1</v>
      </c>
      <c r="W394" s="91">
        <v>1</v>
      </c>
      <c r="X394" s="91">
        <v>1</v>
      </c>
      <c r="Y394" s="91">
        <v>1</v>
      </c>
      <c r="Z394" s="91">
        <v>1</v>
      </c>
      <c r="AA394" s="92">
        <v>1</v>
      </c>
      <c r="AB394" s="91">
        <v>1</v>
      </c>
      <c r="AC394" s="91">
        <v>1</v>
      </c>
      <c r="AD394" s="91">
        <v>2</v>
      </c>
      <c r="AE394" s="91">
        <v>2</v>
      </c>
      <c r="AF394" s="90">
        <v>1</v>
      </c>
      <c r="AG394" s="91">
        <v>1</v>
      </c>
      <c r="AH394" s="91">
        <v>1</v>
      </c>
      <c r="AI394" s="91">
        <v>1</v>
      </c>
      <c r="AJ394" s="91">
        <v>1</v>
      </c>
      <c r="AK394" s="93">
        <f t="shared" si="56"/>
        <v>126.54005713888246</v>
      </c>
      <c r="AL394" s="116">
        <f t="shared" si="57"/>
        <v>104.58883426683039</v>
      </c>
      <c r="AM394" s="117">
        <f t="shared" si="58"/>
        <v>87.804891488208284</v>
      </c>
      <c r="AN394" s="118">
        <f t="shared" si="59"/>
        <v>65.853668616156213</v>
      </c>
      <c r="AO394" s="91" t="str">
        <f>IF(head!$F$82="S460","a","c")</f>
        <v>c</v>
      </c>
      <c r="AP394" s="91">
        <f t="shared" si="61"/>
        <v>0.49</v>
      </c>
      <c r="AQ394" s="96">
        <f>IF(head!F$82="S235",235,IF(head!F$82="S275",275,IF(head!F$82="S355",355,IF(head!F$82="S420",420,460))))^0.5*head!$G$70*1000/(S394*3.1416*210000^0.5)</f>
        <v>1.9877471670340281</v>
      </c>
      <c r="AR394" s="96">
        <f t="shared" si="62"/>
        <v>2.9135674559492388</v>
      </c>
      <c r="AS394" s="96">
        <f t="shared" si="63"/>
        <v>0.19826463669629862</v>
      </c>
      <c r="AT394" s="50">
        <f>IF(head!F$82="S235",235,IF(head!F$82="S275",275,IF(head!F$82="S355",355,IF(head!F$82="S420",420,460))))*AS394*J394/1000</f>
        <v>833.65861089986902</v>
      </c>
      <c r="AU394" s="198">
        <f t="shared" si="48"/>
        <v>1232.0299826572057</v>
      </c>
      <c r="AV394" s="50">
        <f>3.1416*1.13*head!$G$66/(1.4*head!$G$67)*((1+3.1416^2*AU394^2/(1.4*head!$G$67*1000)^2*(0.45^2+1))^0.5+3.1416*0.45*database!AU394/(1.4*head!$G$67*1000))</f>
        <v>30.910910645820124</v>
      </c>
      <c r="AW394" s="50">
        <f>AV394/(head!$G$66*1000)*(210000*database!P394*81000*database!T394)^0.5</f>
        <v>3239487692.7695165</v>
      </c>
      <c r="AX394" s="51">
        <f>IF(head!$F$82="S235",database!AF394,(IF(head!$F$82="S275",database!AG394,IF(head!$F$82="S355",database!AH394,IF(head!$F$82="S420",database!AI394,database!AJ394)))))</f>
        <v>1</v>
      </c>
      <c r="AY394" s="50">
        <f t="shared" si="60"/>
        <v>1282911.6728906066</v>
      </c>
      <c r="AZ394" s="197">
        <f>(AY394*VLOOKUP(head!$F$82,head!$L$1:$M$5,2)/AW394)^0.5</f>
        <v>0.37495088905237017</v>
      </c>
      <c r="BA394" s="97" t="str">
        <f t="shared" si="54"/>
        <v>HEB 280</v>
      </c>
    </row>
    <row r="395" spans="1:53">
      <c r="A395" s="109" t="s">
        <v>239</v>
      </c>
      <c r="B395" s="83">
        <f t="shared" si="55"/>
        <v>1047.3052951411778</v>
      </c>
      <c r="C395" s="110">
        <v>280</v>
      </c>
      <c r="D395" s="110">
        <v>280</v>
      </c>
      <c r="E395" s="127">
        <v>10.5</v>
      </c>
      <c r="F395" s="110">
        <v>18</v>
      </c>
      <c r="G395" s="110">
        <v>24</v>
      </c>
      <c r="H395" s="111">
        <v>103.1210746575284</v>
      </c>
      <c r="I395" s="112">
        <v>105.09154105225824</v>
      </c>
      <c r="J395" s="112">
        <v>13136.44263153228</v>
      </c>
      <c r="K395" s="112">
        <v>1.6177964473723101</v>
      </c>
      <c r="L395" s="113">
        <v>192702730.77217665</v>
      </c>
      <c r="M395" s="112">
        <v>1376448.0769441191</v>
      </c>
      <c r="N395" s="112">
        <v>1534433.3778901633</v>
      </c>
      <c r="O395" s="114">
        <v>121.11698401758764</v>
      </c>
      <c r="P395" s="112">
        <v>65945220.687880985</v>
      </c>
      <c r="Q395" s="112">
        <v>471037.29062772135</v>
      </c>
      <c r="R395" s="112">
        <v>717571.69697231916</v>
      </c>
      <c r="S395" s="112">
        <v>70.852108042621794</v>
      </c>
      <c r="T395" s="113">
        <v>1452910.5146943401</v>
      </c>
      <c r="U395" s="115">
        <v>1107177724075.78</v>
      </c>
      <c r="V395" s="91">
        <v>1</v>
      </c>
      <c r="W395" s="91">
        <v>1</v>
      </c>
      <c r="X395" s="91">
        <v>1</v>
      </c>
      <c r="Y395" s="91">
        <v>1</v>
      </c>
      <c r="Z395" s="91">
        <v>1</v>
      </c>
      <c r="AA395" s="92">
        <v>1</v>
      </c>
      <c r="AB395" s="91">
        <v>1</v>
      </c>
      <c r="AC395" s="91">
        <v>1</v>
      </c>
      <c r="AD395" s="91">
        <v>2</v>
      </c>
      <c r="AE395" s="91">
        <v>3</v>
      </c>
      <c r="AF395" s="90">
        <v>1</v>
      </c>
      <c r="AG395" s="91">
        <v>1</v>
      </c>
      <c r="AH395" s="91">
        <v>1</v>
      </c>
      <c r="AI395" s="91">
        <v>1</v>
      </c>
      <c r="AJ395" s="91">
        <v>1</v>
      </c>
      <c r="AK395" s="93">
        <f t="shared" si="56"/>
        <v>123.15331423813365</v>
      </c>
      <c r="AL395" s="116">
        <f t="shared" si="57"/>
        <v>101.83856352107898</v>
      </c>
      <c r="AM395" s="117">
        <f t="shared" si="58"/>
        <v>85.259002868218616</v>
      </c>
      <c r="AN395" s="118">
        <f t="shared" si="59"/>
        <v>63.944252151163965</v>
      </c>
      <c r="AO395" s="91" t="str">
        <f>IF(head!$F$82="S460","a","c")</f>
        <v>c</v>
      </c>
      <c r="AP395" s="91">
        <f t="shared" si="61"/>
        <v>0.49</v>
      </c>
      <c r="AQ395" s="96">
        <f>IF(head!F$82="S235",235,IF(head!F$82="S275",275,IF(head!F$82="S355",355,IF(head!F$82="S420",420,460))))^0.5*head!$G$70*1000/(S395*3.1416*210000^0.5)</f>
        <v>1.847144472579048</v>
      </c>
      <c r="AR395" s="96">
        <f t="shared" si="62"/>
        <v>2.6095217470715317</v>
      </c>
      <c r="AS395" s="96">
        <f t="shared" si="63"/>
        <v>0.22457798079059915</v>
      </c>
      <c r="AT395" s="50">
        <f>IF(head!F$82="S235",235,IF(head!F$82="S275",275,IF(head!F$82="S355",355,IF(head!F$82="S420",420,460))))*AS395*J395/1000</f>
        <v>1047.3052951411778</v>
      </c>
      <c r="AU395" s="198">
        <f t="shared" si="48"/>
        <v>1405.5826062876092</v>
      </c>
      <c r="AV395" s="50">
        <f>3.1416*1.13*head!$G$66/(1.4*head!$G$67)*((1+3.1416^2*AU395^2/(1.4*head!$G$67*1000)^2*(0.45^2+1))^0.5+3.1416*0.45*database!AU395/(1.4*head!$G$67*1000))</f>
        <v>34.32567068595781</v>
      </c>
      <c r="AW395" s="50">
        <f>AV395/(head!$G$66*1000)*(210000*database!P395*81000*database!T395)^0.5</f>
        <v>4382100008.2677193</v>
      </c>
      <c r="AX395" s="51">
        <f>IF(head!$F$82="S235",database!AF395,(IF(head!$F$82="S275",database!AG395,IF(head!$F$82="S355",database!AH395,IF(head!$F$82="S420",database!AI395,database!AJ395)))))</f>
        <v>1</v>
      </c>
      <c r="AY395" s="50">
        <f t="shared" si="60"/>
        <v>1534433.3778901633</v>
      </c>
      <c r="AZ395" s="197">
        <f>(AY395*VLOOKUP(head!$F$82,head!$L$1:$M$5,2)/AW395)^0.5</f>
        <v>0.35257137763460955</v>
      </c>
      <c r="BA395" s="97" t="str">
        <f t="shared" si="54"/>
        <v>HEB 300</v>
      </c>
    </row>
    <row r="396" spans="1:53">
      <c r="A396" s="109" t="s">
        <v>195</v>
      </c>
      <c r="B396" s="83">
        <f t="shared" si="55"/>
        <v>1329.3520364807441</v>
      </c>
      <c r="C396" s="110">
        <v>300</v>
      </c>
      <c r="D396" s="110">
        <v>300</v>
      </c>
      <c r="E396" s="127">
        <v>11</v>
      </c>
      <c r="F396" s="110">
        <v>19</v>
      </c>
      <c r="G396" s="110">
        <v>27</v>
      </c>
      <c r="H396" s="111">
        <v>117.02606480093436</v>
      </c>
      <c r="I396" s="112">
        <v>119.26223164426433</v>
      </c>
      <c r="J396" s="112">
        <v>14907.77895553304</v>
      </c>
      <c r="K396" s="112">
        <v>1.731646003293849</v>
      </c>
      <c r="L396" s="113">
        <v>251656797.06435794</v>
      </c>
      <c r="M396" s="112">
        <v>1677711.9804290526</v>
      </c>
      <c r="N396" s="112">
        <v>1868674.0113754363</v>
      </c>
      <c r="O396" s="114">
        <v>129.92653609763008</v>
      </c>
      <c r="P396" s="112">
        <v>85628304.403094321</v>
      </c>
      <c r="Q396" s="112">
        <v>570855.36268729542</v>
      </c>
      <c r="R396" s="112">
        <v>870141.31605482381</v>
      </c>
      <c r="S396" s="112">
        <v>75.788305978742656</v>
      </c>
      <c r="T396" s="113">
        <v>1874457.2644152399</v>
      </c>
      <c r="U396" s="115">
        <v>1650977778802.54</v>
      </c>
      <c r="V396" s="91">
        <v>1</v>
      </c>
      <c r="W396" s="91">
        <v>1</v>
      </c>
      <c r="X396" s="91">
        <v>1</v>
      </c>
      <c r="Y396" s="91">
        <v>1</v>
      </c>
      <c r="Z396" s="91">
        <v>1</v>
      </c>
      <c r="AA396" s="92">
        <v>1</v>
      </c>
      <c r="AB396" s="91">
        <v>1</v>
      </c>
      <c r="AC396" s="91">
        <v>1</v>
      </c>
      <c r="AD396" s="91">
        <v>2</v>
      </c>
      <c r="AE396" s="91">
        <v>3</v>
      </c>
      <c r="AF396" s="90">
        <v>1</v>
      </c>
      <c r="AG396" s="91">
        <v>1</v>
      </c>
      <c r="AH396" s="91">
        <v>1</v>
      </c>
      <c r="AI396" s="91">
        <v>1</v>
      </c>
      <c r="AJ396" s="91">
        <v>1</v>
      </c>
      <c r="AK396" s="93">
        <f t="shared" si="56"/>
        <v>116.15720949841067</v>
      </c>
      <c r="AL396" s="116">
        <f t="shared" si="57"/>
        <v>96.033487454044376</v>
      </c>
      <c r="AM396" s="117">
        <f t="shared" si="58"/>
        <v>80.494888177465128</v>
      </c>
      <c r="AN396" s="118">
        <f t="shared" si="59"/>
        <v>60.371166133098846</v>
      </c>
      <c r="AO396" s="91" t="str">
        <f>IF(head!$F$82="S460","a","c")</f>
        <v>c</v>
      </c>
      <c r="AP396" s="91">
        <f t="shared" si="61"/>
        <v>0.49</v>
      </c>
      <c r="AQ396" s="96">
        <f>IF(head!F$82="S235",235,IF(head!F$82="S275",275,IF(head!F$82="S355",355,IF(head!F$82="S420",420,460))))^0.5*head!$G$70*1000/(S396*3.1416*210000^0.5)</f>
        <v>1.7268373801389667</v>
      </c>
      <c r="AR396" s="96">
        <f t="shared" si="62"/>
        <v>2.3650588268566519</v>
      </c>
      <c r="AS396" s="96">
        <f t="shared" si="63"/>
        <v>0.25118789559859872</v>
      </c>
      <c r="AT396" s="50">
        <f>IF(head!F$82="S235",235,IF(head!F$82="S275",275,IF(head!F$82="S355",355,IF(head!F$82="S420",420,460))))*AS396*J396/1000</f>
        <v>1329.3520364807441</v>
      </c>
      <c r="AU396" s="198">
        <f t="shared" si="48"/>
        <v>1511.1235720137072</v>
      </c>
      <c r="AV396" s="50">
        <f>3.1416*1.13*head!$G$66/(1.4*head!$G$67)*((1+3.1416^2*AU396^2/(1.4*head!$G$67*1000)^2*(0.45^2+1))^0.5+3.1416*0.45*database!AU396/(1.4*head!$G$67*1000))</f>
        <v>36.43922390288251</v>
      </c>
      <c r="AW396" s="50">
        <f>AV396/(head!$G$66*1000)*(210000*database!P396*81000*database!T396)^0.5</f>
        <v>6020987412.6971245</v>
      </c>
      <c r="AX396" s="51">
        <f>IF(head!$F$82="S235",database!AF396,(IF(head!$F$82="S275",database!AG396,IF(head!$F$82="S355",database!AH396,IF(head!$F$82="S420",database!AI396,database!AJ396)))))</f>
        <v>1</v>
      </c>
      <c r="AY396" s="50">
        <f t="shared" si="60"/>
        <v>1868674.0113754363</v>
      </c>
      <c r="AZ396" s="197">
        <f>(AY396*VLOOKUP(head!$F$82,head!$L$1:$M$5,2)/AW396)^0.5</f>
        <v>0.33193044618731399</v>
      </c>
      <c r="BA396" s="97" t="str">
        <f t="shared" si="54"/>
        <v>HEB 320</v>
      </c>
    </row>
    <row r="397" spans="1:53">
      <c r="A397" s="109" t="s">
        <v>196</v>
      </c>
      <c r="B397" s="83">
        <f t="shared" si="55"/>
        <v>1435.0843607156069</v>
      </c>
      <c r="C397" s="110">
        <v>320</v>
      </c>
      <c r="D397" s="110">
        <v>300</v>
      </c>
      <c r="E397" s="127">
        <v>11.5</v>
      </c>
      <c r="F397" s="110">
        <v>20.5</v>
      </c>
      <c r="G397" s="110">
        <v>27</v>
      </c>
      <c r="H397" s="111">
        <v>126.65408980093436</v>
      </c>
      <c r="I397" s="112">
        <v>129.07423164426433</v>
      </c>
      <c r="J397" s="112">
        <v>16134.27895553304</v>
      </c>
      <c r="K397" s="112">
        <v>1.7706460032938489</v>
      </c>
      <c r="L397" s="113">
        <v>308235422.49561095</v>
      </c>
      <c r="M397" s="112">
        <v>1926471.3905975684</v>
      </c>
      <c r="N397" s="112">
        <v>2149240.0074974671</v>
      </c>
      <c r="O397" s="114">
        <v>138.21860088375288</v>
      </c>
      <c r="P397" s="112">
        <v>92388251.599389806</v>
      </c>
      <c r="Q397" s="112">
        <v>615921.6773292654</v>
      </c>
      <c r="R397" s="112">
        <v>939096.6982937071</v>
      </c>
      <c r="S397" s="112">
        <v>75.671717904705574</v>
      </c>
      <c r="T397" s="113">
        <v>2293018.4030929301</v>
      </c>
      <c r="U397" s="115">
        <v>2026116027665.8401</v>
      </c>
      <c r="V397" s="91">
        <v>1</v>
      </c>
      <c r="W397" s="91">
        <v>1</v>
      </c>
      <c r="X397" s="91">
        <v>1</v>
      </c>
      <c r="Y397" s="91">
        <v>1</v>
      </c>
      <c r="Z397" s="91">
        <v>1</v>
      </c>
      <c r="AA397" s="92">
        <v>1</v>
      </c>
      <c r="AB397" s="91">
        <v>1</v>
      </c>
      <c r="AC397" s="91">
        <v>1</v>
      </c>
      <c r="AD397" s="91">
        <v>1</v>
      </c>
      <c r="AE397" s="91">
        <v>2</v>
      </c>
      <c r="AF397" s="90">
        <v>1</v>
      </c>
      <c r="AG397" s="91">
        <v>1</v>
      </c>
      <c r="AH397" s="91">
        <v>1</v>
      </c>
      <c r="AI397" s="91">
        <v>1</v>
      </c>
      <c r="AJ397" s="91">
        <v>1</v>
      </c>
      <c r="AK397" s="93">
        <f t="shared" si="56"/>
        <v>109.74435288827264</v>
      </c>
      <c r="AL397" s="116">
        <f t="shared" si="57"/>
        <v>91.150401412237272</v>
      </c>
      <c r="AM397" s="117">
        <f t="shared" si="58"/>
        <v>76.854999434279534</v>
      </c>
      <c r="AN397" s="118">
        <f t="shared" si="59"/>
        <v>58.261047958244163</v>
      </c>
      <c r="AO397" s="91" t="str">
        <f>IF(head!$F$82="S460","a","c")</f>
        <v>c</v>
      </c>
      <c r="AP397" s="91">
        <f t="shared" si="61"/>
        <v>0.49</v>
      </c>
      <c r="AQ397" s="96">
        <f>IF(head!F$82="S235",235,IF(head!F$82="S275",275,IF(head!F$82="S355",355,IF(head!F$82="S420",420,460))))^0.5*head!$G$70*1000/(S397*3.1416*210000^0.5)</f>
        <v>1.7294979335121459</v>
      </c>
      <c r="AR397" s="96">
        <f t="shared" si="62"/>
        <v>2.3703085447218672</v>
      </c>
      <c r="AS397" s="96">
        <f t="shared" si="63"/>
        <v>0.25055294804848111</v>
      </c>
      <c r="AT397" s="50">
        <f>IF(head!F$82="S235",235,IF(head!F$82="S275",275,IF(head!F$82="S355",355,IF(head!F$82="S420",420,460))))*AS397*J397/1000</f>
        <v>1435.0843607156069</v>
      </c>
      <c r="AU397" s="198">
        <f t="shared" si="48"/>
        <v>1513.5456485971624</v>
      </c>
      <c r="AV397" s="50">
        <f>3.1416*1.13*head!$G$66/(1.4*head!$G$67)*((1+3.1416^2*AU397^2/(1.4*head!$G$67*1000)^2*(0.45^2+1))^0.5+3.1416*0.45*database!AU397/(1.4*head!$G$67*1000))</f>
        <v>36.488009748755502</v>
      </c>
      <c r="AW397" s="50">
        <f>AV397/(head!$G$66*1000)*(210000*database!P397*81000*database!T397)^0.5</f>
        <v>6926510172.8344116</v>
      </c>
      <c r="AX397" s="51">
        <f>IF(head!$F$82="S235",database!AF397,(IF(head!$F$82="S275",database!AG397,IF(head!$F$82="S355",database!AH397,IF(head!$F$82="S420",database!AI397,database!AJ397)))))</f>
        <v>1</v>
      </c>
      <c r="AY397" s="50">
        <f t="shared" si="60"/>
        <v>2149240.0074974671</v>
      </c>
      <c r="AZ397" s="197">
        <f>(AY397*VLOOKUP(head!$F$82,head!$L$1:$M$5,2)/AW397)^0.5</f>
        <v>0.33189399631053867</v>
      </c>
      <c r="BA397" s="97" t="str">
        <f t="shared" si="54"/>
        <v>HEB 340</v>
      </c>
    </row>
    <row r="398" spans="1:53">
      <c r="A398" s="109" t="s">
        <v>197</v>
      </c>
      <c r="B398" s="83">
        <f t="shared" si="55"/>
        <v>1507.7866722841025</v>
      </c>
      <c r="C398" s="110">
        <v>340</v>
      </c>
      <c r="D398" s="110">
        <v>300</v>
      </c>
      <c r="E398" s="127">
        <v>12</v>
      </c>
      <c r="F398" s="110">
        <v>21.5</v>
      </c>
      <c r="G398" s="110">
        <v>27</v>
      </c>
      <c r="H398" s="111">
        <v>134.15476480093437</v>
      </c>
      <c r="I398" s="112">
        <v>136.71823164426434</v>
      </c>
      <c r="J398" s="112">
        <v>17089.778955533042</v>
      </c>
      <c r="K398" s="112">
        <v>1.8096460032938488</v>
      </c>
      <c r="L398" s="113">
        <v>366563994.60096353</v>
      </c>
      <c r="M398" s="112">
        <v>2156258.7917703739</v>
      </c>
      <c r="N398" s="112">
        <v>2408106.1430972642</v>
      </c>
      <c r="O398" s="114">
        <v>146.45583510264342</v>
      </c>
      <c r="P398" s="112">
        <v>96899384.49722138</v>
      </c>
      <c r="Q398" s="112">
        <v>645995.89664814249</v>
      </c>
      <c r="R398" s="112">
        <v>985720.70553259028</v>
      </c>
      <c r="S398" s="112">
        <v>75.299533646184386</v>
      </c>
      <c r="T398" s="113">
        <v>2620773.0208503697</v>
      </c>
      <c r="U398" s="115">
        <v>2405532680521.6299</v>
      </c>
      <c r="V398" s="91">
        <v>1</v>
      </c>
      <c r="W398" s="91">
        <v>1</v>
      </c>
      <c r="X398" s="91">
        <v>1</v>
      </c>
      <c r="Y398" s="91">
        <v>1</v>
      </c>
      <c r="Z398" s="91">
        <v>1</v>
      </c>
      <c r="AA398" s="92">
        <v>1</v>
      </c>
      <c r="AB398" s="91">
        <v>1</v>
      </c>
      <c r="AC398" s="91">
        <v>1</v>
      </c>
      <c r="AD398" s="91">
        <v>1</v>
      </c>
      <c r="AE398" s="91">
        <v>2</v>
      </c>
      <c r="AF398" s="90">
        <v>1</v>
      </c>
      <c r="AG398" s="91">
        <v>1</v>
      </c>
      <c r="AH398" s="91">
        <v>1</v>
      </c>
      <c r="AI398" s="91">
        <v>1</v>
      </c>
      <c r="AJ398" s="91">
        <v>1</v>
      </c>
      <c r="AK398" s="93">
        <f t="shared" si="56"/>
        <v>105.8905447520696</v>
      </c>
      <c r="AL398" s="116">
        <f t="shared" si="57"/>
        <v>88.336192482178433</v>
      </c>
      <c r="AM398" s="117">
        <f t="shared" si="58"/>
        <v>74.898569684869031</v>
      </c>
      <c r="AN398" s="118">
        <f t="shared" si="59"/>
        <v>57.344217414977862</v>
      </c>
      <c r="AO398" s="91" t="str">
        <f>IF(head!$F$82="S460","a","c")</f>
        <v>c</v>
      </c>
      <c r="AP398" s="91">
        <f t="shared" si="61"/>
        <v>0.49</v>
      </c>
      <c r="AQ398" s="96">
        <f>IF(head!F$82="S235",235,IF(head!F$82="S275",275,IF(head!F$82="S355",355,IF(head!F$82="S420",420,460))))^0.5*head!$G$70*1000/(S398*3.1416*210000^0.5)</f>
        <v>1.7380463517403746</v>
      </c>
      <c r="AR398" s="96">
        <f t="shared" si="62"/>
        <v>2.3872239165754046</v>
      </c>
      <c r="AS398" s="96">
        <f t="shared" si="63"/>
        <v>0.24852787223588832</v>
      </c>
      <c r="AT398" s="50">
        <f>IF(head!F$82="S235",235,IF(head!F$82="S275",275,IF(head!F$82="S355",355,IF(head!F$82="S420",420,460))))*AS398*J398/1000</f>
        <v>1507.7866722841025</v>
      </c>
      <c r="AU398" s="198">
        <f t="shared" si="48"/>
        <v>1542.6168255716784</v>
      </c>
      <c r="AV398" s="50">
        <f>3.1416*1.13*head!$G$66/(1.4*head!$G$67)*((1+3.1416^2*AU398^2/(1.4*head!$G$67*1000)^2*(0.45^2+1))^0.5+3.1416*0.45*database!AU398/(1.4*head!$G$67*1000))</f>
        <v>37.074483750928408</v>
      </c>
      <c r="AW398" s="50">
        <f>AV398/(head!$G$66*1000)*(210000*database!P398*81000*database!T398)^0.5</f>
        <v>7705529421.6607237</v>
      </c>
      <c r="AX398" s="51">
        <f>IF(head!$F$82="S235",database!AF398,(IF(head!$F$82="S275",database!AG398,IF(head!$F$82="S355",database!AH398,IF(head!$F$82="S420",database!AI398,database!AJ398)))))</f>
        <v>1</v>
      </c>
      <c r="AY398" s="50">
        <f t="shared" si="60"/>
        <v>2408106.1430972642</v>
      </c>
      <c r="AZ398" s="197">
        <f>(AY398*VLOOKUP(head!$F$82,head!$L$1:$M$5,2)/AW398)^0.5</f>
        <v>0.33308168100956986</v>
      </c>
      <c r="BA398" s="97" t="str">
        <f t="shared" si="54"/>
        <v>HEB 360</v>
      </c>
    </row>
    <row r="399" spans="1:53">
      <c r="A399" s="109" t="s">
        <v>198</v>
      </c>
      <c r="B399" s="83">
        <f t="shared" si="55"/>
        <v>1580.7410806183109</v>
      </c>
      <c r="C399" s="110">
        <v>360</v>
      </c>
      <c r="D399" s="110">
        <v>300</v>
      </c>
      <c r="E399" s="127">
        <v>12.5</v>
      </c>
      <c r="F399" s="110">
        <v>22.5</v>
      </c>
      <c r="G399" s="110">
        <v>27</v>
      </c>
      <c r="H399" s="111">
        <v>141.79673980093438</v>
      </c>
      <c r="I399" s="112">
        <v>144.50623164426435</v>
      </c>
      <c r="J399" s="112">
        <v>18063.278955533042</v>
      </c>
      <c r="K399" s="112">
        <v>1.848646003293849</v>
      </c>
      <c r="L399" s="113">
        <v>431934537.39711249</v>
      </c>
      <c r="M399" s="112">
        <v>2399636.3188728471</v>
      </c>
      <c r="N399" s="112">
        <v>2682989.2786970618</v>
      </c>
      <c r="O399" s="114">
        <v>154.63602283653856</v>
      </c>
      <c r="P399" s="112">
        <v>101411689.49242242</v>
      </c>
      <c r="Q399" s="112">
        <v>676077.92994948267</v>
      </c>
      <c r="R399" s="112">
        <v>1032489.8377714735</v>
      </c>
      <c r="S399" s="112">
        <v>74.928271580559183</v>
      </c>
      <c r="T399" s="113">
        <v>2979491.9808561802</v>
      </c>
      <c r="U399" s="115">
        <v>2829246161871.1802</v>
      </c>
      <c r="V399" s="91">
        <v>1</v>
      </c>
      <c r="W399" s="91">
        <v>1</v>
      </c>
      <c r="X399" s="91">
        <v>1</v>
      </c>
      <c r="Y399" s="91">
        <v>1</v>
      </c>
      <c r="Z399" s="91">
        <v>1</v>
      </c>
      <c r="AA399" s="92">
        <v>1</v>
      </c>
      <c r="AB399" s="91">
        <v>1</v>
      </c>
      <c r="AC399" s="91">
        <v>1</v>
      </c>
      <c r="AD399" s="91">
        <v>1</v>
      </c>
      <c r="AE399" s="91">
        <v>2</v>
      </c>
      <c r="AF399" s="90">
        <v>1</v>
      </c>
      <c r="AG399" s="91">
        <v>1</v>
      </c>
      <c r="AH399" s="91">
        <v>1</v>
      </c>
      <c r="AI399" s="91">
        <v>1</v>
      </c>
      <c r="AJ399" s="91">
        <v>1</v>
      </c>
      <c r="AK399" s="93">
        <f t="shared" si="56"/>
        <v>102.34276998349638</v>
      </c>
      <c r="AL399" s="116">
        <f t="shared" si="57"/>
        <v>85.734489685189544</v>
      </c>
      <c r="AM399" s="117">
        <f t="shared" si="58"/>
        <v>73.076433312550108</v>
      </c>
      <c r="AN399" s="118">
        <f t="shared" si="59"/>
        <v>56.468153014243256</v>
      </c>
      <c r="AO399" s="91" t="str">
        <f>IF(head!$F$82="S460","a","c")</f>
        <v>c</v>
      </c>
      <c r="AP399" s="91">
        <f t="shared" ref="AP399:AP406" si="64">IF(AO399="a0",0.13,IF(AO399="a",0.21,IF(AO399="b",0.34,IF(AO399="c",0.49,0.76))))</f>
        <v>0.49</v>
      </c>
      <c r="AQ399" s="96">
        <f>IF(head!F$82="S235",235,IF(head!F$82="S275",275,IF(head!F$82="S355",355,IF(head!F$82="S420",420,460))))^0.5*head!$G$70*1000/(S399*3.1416*210000^0.5)</f>
        <v>1.7466581969769983</v>
      </c>
      <c r="AR399" s="96">
        <f t="shared" ref="AR399:AR406" si="65">0.5*(1+AP399*(AQ399-0.2)+AQ399^2)</f>
        <v>2.4043386867928338</v>
      </c>
      <c r="AS399" s="96">
        <f t="shared" ref="AS399:AS406" si="66">IF(AQ399&lt;=0.2,1,1/(AR399+(AR399^2-AQ399^2)^0.5))</f>
        <v>0.24651071310758085</v>
      </c>
      <c r="AT399" s="50">
        <f>IF(head!F$82="S235",235,IF(head!F$82="S275",275,IF(head!F$82="S355",355,IF(head!F$82="S420",420,460))))*AS399*J399/1000</f>
        <v>1580.7410806183109</v>
      </c>
      <c r="AU399" s="198">
        <f t="shared" si="48"/>
        <v>1569.0305338652322</v>
      </c>
      <c r="AV399" s="50">
        <f>3.1416*1.13*head!$G$66/(1.4*head!$G$67)*((1+3.1416^2*AU399^2/(1.4*head!$G$67*1000)^2*(0.45^2+1))^0.5+3.1416*0.45*database!AU399/(1.4*head!$G$67*1000))</f>
        <v>37.608773334356499</v>
      </c>
      <c r="AW399" s="50">
        <f>AV399/(head!$G$66*1000)*(210000*database!P399*81000*database!T399)^0.5</f>
        <v>8526218238.9495287</v>
      </c>
      <c r="AX399" s="51">
        <f>IF(head!$F$82="S235",database!AF399,(IF(head!$F$82="S275",database!AG399,IF(head!$F$82="S355",database!AH399,IF(head!$F$82="S420",database!AI399,database!AJ399)))))</f>
        <v>1</v>
      </c>
      <c r="AY399" s="50">
        <f t="shared" si="60"/>
        <v>2682989.2786970618</v>
      </c>
      <c r="AZ399" s="197">
        <f>(AY399*VLOOKUP(head!$F$82,head!$L$1:$M$5,2)/AW399)^0.5</f>
        <v>0.33422999523918251</v>
      </c>
      <c r="BA399" s="97" t="str">
        <f t="shared" si="54"/>
        <v>HEB 400</v>
      </c>
    </row>
    <row r="400" spans="1:53">
      <c r="A400" s="109" t="s">
        <v>199</v>
      </c>
      <c r="B400" s="83">
        <f t="shared" si="55"/>
        <v>1822.7960605080962</v>
      </c>
      <c r="C400" s="110">
        <v>400</v>
      </c>
      <c r="D400" s="110">
        <v>300</v>
      </c>
      <c r="E400" s="127">
        <v>13.5</v>
      </c>
      <c r="F400" s="110">
        <v>24</v>
      </c>
      <c r="G400" s="110">
        <v>27</v>
      </c>
      <c r="H400" s="111">
        <v>155.25556480093437</v>
      </c>
      <c r="I400" s="112">
        <v>158.22223164426435</v>
      </c>
      <c r="J400" s="112">
        <v>19777.778955533042</v>
      </c>
      <c r="K400" s="112">
        <v>1.9266460032938488</v>
      </c>
      <c r="L400" s="113">
        <v>576805253.80643487</v>
      </c>
      <c r="M400" s="112">
        <v>2884026.2690321743</v>
      </c>
      <c r="N400" s="112">
        <v>3231739.0643744231</v>
      </c>
      <c r="O400" s="114">
        <v>170.77560964318306</v>
      </c>
      <c r="P400" s="112">
        <v>108190432.55618276</v>
      </c>
      <c r="Q400" s="112">
        <v>721269.55037455168</v>
      </c>
      <c r="R400" s="112">
        <v>1104036.03974924</v>
      </c>
      <c r="S400" s="112">
        <v>73.961492980748289</v>
      </c>
      <c r="T400" s="113">
        <v>3611687.3097686698</v>
      </c>
      <c r="U400" s="115">
        <v>3751045822668.9702</v>
      </c>
      <c r="V400" s="91">
        <v>1</v>
      </c>
      <c r="W400" s="91">
        <v>1</v>
      </c>
      <c r="X400" s="91">
        <v>1</v>
      </c>
      <c r="Y400" s="91">
        <v>1</v>
      </c>
      <c r="Z400" s="91">
        <v>1</v>
      </c>
      <c r="AA400" s="92">
        <v>1</v>
      </c>
      <c r="AB400" s="91">
        <v>1</v>
      </c>
      <c r="AC400" s="91">
        <v>1</v>
      </c>
      <c r="AD400" s="91">
        <v>2</v>
      </c>
      <c r="AE400" s="91">
        <v>2</v>
      </c>
      <c r="AF400" s="90">
        <v>1</v>
      </c>
      <c r="AG400" s="91">
        <v>1</v>
      </c>
      <c r="AH400" s="91">
        <v>1</v>
      </c>
      <c r="AI400" s="91">
        <v>1</v>
      </c>
      <c r="AJ400" s="91">
        <v>1</v>
      </c>
      <c r="AK400" s="93">
        <f t="shared" si="56"/>
        <v>97.414679758813321</v>
      </c>
      <c r="AL400" s="116">
        <f t="shared" si="57"/>
        <v>82.246141336248357</v>
      </c>
      <c r="AM400" s="117">
        <f t="shared" si="58"/>
        <v>70.786512638636566</v>
      </c>
      <c r="AN400" s="118">
        <f t="shared" si="59"/>
        <v>55.617974216071595</v>
      </c>
      <c r="AO400" s="91" t="str">
        <f>IF(head!$F$82="S460","a0","b")</f>
        <v>b</v>
      </c>
      <c r="AP400" s="91">
        <f t="shared" si="64"/>
        <v>0.34</v>
      </c>
      <c r="AQ400" s="96">
        <f>IF(head!F$82="S235",235,IF(head!F$82="S275",275,IF(head!F$82="S355",355,IF(head!F$82="S420",420,460))))^0.5*head!$G$70*1000/(S400*3.1416*210000^0.5)</f>
        <v>1.7694894257416902</v>
      </c>
      <c r="AR400" s="96">
        <f t="shared" si="65"/>
        <v>2.3323596162819156</v>
      </c>
      <c r="AS400" s="96">
        <f t="shared" si="66"/>
        <v>0.25961645145837686</v>
      </c>
      <c r="AT400" s="50">
        <f>IF(head!F$82="S235",235,IF(head!F$82="S275",275,IF(head!F$82="S355",355,IF(head!F$82="S420",420,460))))*AS400*J400/1000</f>
        <v>1822.7960605080962</v>
      </c>
      <c r="AU400" s="198">
        <f t="shared" si="48"/>
        <v>1640.9231841257481</v>
      </c>
      <c r="AV400" s="50">
        <f>3.1416*1.13*head!$G$66/(1.4*head!$G$67)*((1+3.1416^2*AU400^2/(1.4*head!$G$67*1000)^2*(0.45^2+1))^0.5+3.1416*0.45*database!AU400/(1.4*head!$G$67*1000))</f>
        <v>39.069454022875597</v>
      </c>
      <c r="AW400" s="50">
        <f>AV400/(head!$G$66*1000)*(210000*database!P400*81000*database!T400)^0.5</f>
        <v>10072539964.386681</v>
      </c>
      <c r="AX400" s="51">
        <f>IF(head!$F$82="S235",database!AF400,(IF(head!$F$82="S275",database!AG400,IF(head!$F$82="S355",database!AH400,IF(head!$F$82="S420",database!AI400,database!AJ400)))))</f>
        <v>1</v>
      </c>
      <c r="AY400" s="50">
        <f t="shared" si="60"/>
        <v>3231739.0643744231</v>
      </c>
      <c r="AZ400" s="197">
        <f>(AY400*VLOOKUP(head!$F$82,head!$L$1:$M$5,2)/AW400)^0.5</f>
        <v>0.3374914857334686</v>
      </c>
      <c r="BA400" s="97" t="str">
        <f t="shared" si="54"/>
        <v>HEB 450</v>
      </c>
    </row>
    <row r="401" spans="1:53">
      <c r="A401" s="109" t="s">
        <v>200</v>
      </c>
      <c r="B401" s="83">
        <f t="shared" si="55"/>
        <v>1979.4598738181683</v>
      </c>
      <c r="C401" s="110">
        <v>450</v>
      </c>
      <c r="D401" s="110">
        <v>300</v>
      </c>
      <c r="E401" s="127">
        <v>14</v>
      </c>
      <c r="F401" s="110">
        <v>26</v>
      </c>
      <c r="G401" s="110">
        <v>27</v>
      </c>
      <c r="H401" s="111">
        <v>171.11256480093436</v>
      </c>
      <c r="I401" s="112">
        <v>174.38223164426435</v>
      </c>
      <c r="J401" s="112">
        <v>21797.778955533042</v>
      </c>
      <c r="K401" s="112">
        <v>2.0256460032938488</v>
      </c>
      <c r="L401" s="113">
        <v>798875665.16846859</v>
      </c>
      <c r="M401" s="112">
        <v>3550558.5118598603</v>
      </c>
      <c r="N401" s="112">
        <v>3982369.9803516828</v>
      </c>
      <c r="O401" s="114">
        <v>191.44034751680522</v>
      </c>
      <c r="P401" s="112">
        <v>117213309.02057542</v>
      </c>
      <c r="Q401" s="112">
        <v>781422.06013716944</v>
      </c>
      <c r="R401" s="112">
        <v>1197656.4844881233</v>
      </c>
      <c r="S401" s="112">
        <v>73.330110795535575</v>
      </c>
      <c r="T401" s="113">
        <v>4489530.3304490196</v>
      </c>
      <c r="U401" s="115">
        <v>5177573805985.96</v>
      </c>
      <c r="V401" s="91">
        <v>1</v>
      </c>
      <c r="W401" s="91">
        <v>1</v>
      </c>
      <c r="X401" s="91">
        <v>1</v>
      </c>
      <c r="Y401" s="91">
        <v>1</v>
      </c>
      <c r="Z401" s="91">
        <v>2</v>
      </c>
      <c r="AA401" s="92">
        <v>1</v>
      </c>
      <c r="AB401" s="91">
        <v>1</v>
      </c>
      <c r="AC401" s="91">
        <v>2</v>
      </c>
      <c r="AD401" s="91">
        <v>3</v>
      </c>
      <c r="AE401" s="91">
        <v>3</v>
      </c>
      <c r="AF401" s="90">
        <v>1</v>
      </c>
      <c r="AG401" s="91">
        <v>1</v>
      </c>
      <c r="AH401" s="91">
        <v>1</v>
      </c>
      <c r="AI401" s="91">
        <v>1</v>
      </c>
      <c r="AJ401" s="91">
        <v>1</v>
      </c>
      <c r="AK401" s="93">
        <f t="shared" si="56"/>
        <v>92.929009300723678</v>
      </c>
      <c r="AL401" s="116">
        <f t="shared" si="57"/>
        <v>79.166139211436445</v>
      </c>
      <c r="AM401" s="117">
        <f t="shared" si="58"/>
        <v>68.81435044643608</v>
      </c>
      <c r="AN401" s="118">
        <f t="shared" si="59"/>
        <v>55.051480357148861</v>
      </c>
      <c r="AO401" s="91" t="str">
        <f>IF(head!$F$82="S460","a0","b")</f>
        <v>b</v>
      </c>
      <c r="AP401" s="91">
        <f t="shared" si="64"/>
        <v>0.34</v>
      </c>
      <c r="AQ401" s="96">
        <f>IF(head!F$82="S235",235,IF(head!F$82="S275",275,IF(head!F$82="S355",355,IF(head!F$82="S420",420,460))))^0.5*head!$G$70*1000/(S401*3.1416*210000^0.5)</f>
        <v>1.7847249693432909</v>
      </c>
      <c r="AR401" s="96">
        <f t="shared" si="65"/>
        <v>2.3620248528870649</v>
      </c>
      <c r="AS401" s="96">
        <f t="shared" si="66"/>
        <v>0.25580327784334567</v>
      </c>
      <c r="AT401" s="50">
        <f>IF(head!F$82="S235",235,IF(head!F$82="S275",275,IF(head!F$82="S355",355,IF(head!F$82="S420",420,460))))*AS401*J401/1000</f>
        <v>1979.4598738181683</v>
      </c>
      <c r="AU401" s="198">
        <f t="shared" si="48"/>
        <v>1729.138705207745</v>
      </c>
      <c r="AV401" s="50">
        <f>3.1416*1.13*head!$G$66/(1.4*head!$G$67)*((1+3.1416^2*AU401^2/(1.4*head!$G$67*1000)^2*(0.45^2+1))^0.5+3.1416*0.45*database!AU401/(1.4*head!$G$67*1000))</f>
        <v>40.873549233268612</v>
      </c>
      <c r="AW401" s="50">
        <f>AV401/(head!$G$66*1000)*(210000*database!P401*81000*database!T401)^0.5</f>
        <v>12228788283.485806</v>
      </c>
      <c r="AX401" s="51">
        <f>IF(head!$F$82="S235",database!AF401,(IF(head!$F$82="S275",database!AG401,IF(head!$F$82="S355",database!AH401,IF(head!$F$82="S420",database!AI401,database!AJ401)))))</f>
        <v>1</v>
      </c>
      <c r="AY401" s="50">
        <f t="shared" si="60"/>
        <v>3982369.9803516828</v>
      </c>
      <c r="AZ401" s="197">
        <f>(AY401*VLOOKUP(head!$F$82,head!$L$1:$M$5,2)/AW401)^0.5</f>
        <v>0.34001123384721099</v>
      </c>
      <c r="BA401" s="97" t="str">
        <f t="shared" si="54"/>
        <v>HEB 500</v>
      </c>
    </row>
    <row r="402" spans="1:53">
      <c r="A402" s="109" t="s">
        <v>201</v>
      </c>
      <c r="B402" s="83">
        <f t="shared" si="55"/>
        <v>2136.5983792529287</v>
      </c>
      <c r="C402" s="110">
        <v>500</v>
      </c>
      <c r="D402" s="110">
        <v>300</v>
      </c>
      <c r="E402" s="127">
        <v>14.5</v>
      </c>
      <c r="F402" s="110">
        <v>28</v>
      </c>
      <c r="G402" s="110">
        <v>27</v>
      </c>
      <c r="H402" s="111">
        <v>187.33066480093439</v>
      </c>
      <c r="I402" s="112">
        <v>190.91023164426434</v>
      </c>
      <c r="J402" s="112">
        <v>23863.778955533042</v>
      </c>
      <c r="K402" s="112">
        <v>2.124646003293849</v>
      </c>
      <c r="L402" s="113">
        <v>1071757883.9987898</v>
      </c>
      <c r="M402" s="112">
        <v>4287031.5359951593</v>
      </c>
      <c r="N402" s="112">
        <v>4814566.8963289429</v>
      </c>
      <c r="O402" s="114">
        <v>211.92331299272524</v>
      </c>
      <c r="P402" s="112">
        <v>126239215.16567087</v>
      </c>
      <c r="Q402" s="112">
        <v>841594.76777113916</v>
      </c>
      <c r="R402" s="112">
        <v>1291648.6792270066</v>
      </c>
      <c r="S402" s="112">
        <v>72.732335624376475</v>
      </c>
      <c r="T402" s="113">
        <v>5499584.2354314895</v>
      </c>
      <c r="U402" s="115">
        <v>6920593372684.4297</v>
      </c>
      <c r="V402" s="91">
        <v>1</v>
      </c>
      <c r="W402" s="91">
        <v>1</v>
      </c>
      <c r="X402" s="91">
        <v>2</v>
      </c>
      <c r="Y402" s="91">
        <v>2</v>
      </c>
      <c r="Z402" s="91">
        <v>2</v>
      </c>
      <c r="AA402" s="92">
        <v>1</v>
      </c>
      <c r="AB402" s="91">
        <v>2</v>
      </c>
      <c r="AC402" s="91">
        <v>3</v>
      </c>
      <c r="AD402" s="91">
        <v>4</v>
      </c>
      <c r="AE402" s="91">
        <v>4</v>
      </c>
      <c r="AF402" s="90">
        <v>1</v>
      </c>
      <c r="AG402" s="91">
        <v>1</v>
      </c>
      <c r="AH402" s="91">
        <v>1</v>
      </c>
      <c r="AI402" s="91">
        <v>1</v>
      </c>
      <c r="AJ402" s="91">
        <v>1</v>
      </c>
      <c r="AK402" s="93">
        <f t="shared" si="56"/>
        <v>89.032252907338886</v>
      </c>
      <c r="AL402" s="116">
        <f t="shared" si="57"/>
        <v>76.460899453260637</v>
      </c>
      <c r="AM402" s="117">
        <f t="shared" si="58"/>
        <v>67.047218421750628</v>
      </c>
      <c r="AN402" s="118">
        <f t="shared" si="59"/>
        <v>54.475864967672386</v>
      </c>
      <c r="AO402" s="91" t="str">
        <f>IF(head!$F$82="S460","a0","b")</f>
        <v>b</v>
      </c>
      <c r="AP402" s="91">
        <f t="shared" si="64"/>
        <v>0.34</v>
      </c>
      <c r="AQ402" s="96">
        <f>IF(head!F$82="S235",235,IF(head!F$82="S275",275,IF(head!F$82="S355",355,IF(head!F$82="S420",420,460))))^0.5*head!$G$70*1000/(S402*3.1416*210000^0.5)</f>
        <v>1.7993933319754343</v>
      </c>
      <c r="AR402" s="96">
        <f t="shared" si="65"/>
        <v>2.3908050480146517</v>
      </c>
      <c r="AS402" s="96">
        <f t="shared" si="66"/>
        <v>0.2522059475586787</v>
      </c>
      <c r="AT402" s="50">
        <f>IF(head!F$82="S235",235,IF(head!F$82="S275",275,IF(head!F$82="S355",355,IF(head!F$82="S420",420,460))))*AS402*J402/1000</f>
        <v>2136.5983792529287</v>
      </c>
      <c r="AU402" s="198">
        <f t="shared" si="48"/>
        <v>1806.2334258500571</v>
      </c>
      <c r="AV402" s="50">
        <f>3.1416*1.13*head!$G$66/(1.4*head!$G$67)*((1+3.1416^2*AU402^2/(1.4*head!$G$67*1000)^2*(0.45^2+1))^0.5+3.1416*0.45*database!AU402/(1.4*head!$G$67*1000))</f>
        <v>42.459691133137262</v>
      </c>
      <c r="AW402" s="50">
        <f>AV402/(head!$G$66*1000)*(210000*database!P402*81000*database!T402)^0.5</f>
        <v>14591201653.876102</v>
      </c>
      <c r="AX402" s="51">
        <f>IF(head!$F$82="S235",database!AF402,(IF(head!$F$82="S275",database!AG402,IF(head!$F$82="S355",database!AH402,IF(head!$F$82="S420",database!AI402,database!AJ402)))))</f>
        <v>1</v>
      </c>
      <c r="AY402" s="50">
        <f t="shared" si="60"/>
        <v>4814566.8963289429</v>
      </c>
      <c r="AZ402" s="197">
        <f>(AY402*VLOOKUP(head!$F$82,head!$L$1:$M$5,2)/AW402)^0.5</f>
        <v>0.34225299673159881</v>
      </c>
      <c r="BA402" s="97" t="str">
        <f t="shared" si="54"/>
        <v>HEB 550</v>
      </c>
    </row>
    <row r="403" spans="1:53">
      <c r="A403" s="109" t="s">
        <v>202</v>
      </c>
      <c r="B403" s="83">
        <f t="shared" si="55"/>
        <v>2221.2783082476935</v>
      </c>
      <c r="C403" s="110">
        <v>550</v>
      </c>
      <c r="D403" s="110">
        <v>300</v>
      </c>
      <c r="E403" s="127">
        <v>15</v>
      </c>
      <c r="F403" s="110">
        <v>29</v>
      </c>
      <c r="G403" s="110">
        <v>27</v>
      </c>
      <c r="H403" s="111">
        <v>199.43536480093437</v>
      </c>
      <c r="I403" s="112">
        <v>203.24623164426433</v>
      </c>
      <c r="J403" s="112">
        <v>25405.778955533042</v>
      </c>
      <c r="K403" s="112">
        <v>2.2236460032938488</v>
      </c>
      <c r="L403" s="113">
        <v>1366908775.7009661</v>
      </c>
      <c r="M403" s="112">
        <v>4970577.3661853317</v>
      </c>
      <c r="N403" s="112">
        <v>5590607.5912617361</v>
      </c>
      <c r="O403" s="114">
        <v>231.95487700791068</v>
      </c>
      <c r="P403" s="112">
        <v>130768985.61646912</v>
      </c>
      <c r="Q403" s="112">
        <v>871793.23744312732</v>
      </c>
      <c r="R403" s="112">
        <v>1341142.3739658899</v>
      </c>
      <c r="S403" s="112">
        <v>71.744088097581951</v>
      </c>
      <c r="T403" s="113">
        <v>6123446.1677798796</v>
      </c>
      <c r="U403" s="115">
        <v>8743728728295.6006</v>
      </c>
      <c r="V403" s="91">
        <v>1</v>
      </c>
      <c r="W403" s="91">
        <v>1</v>
      </c>
      <c r="X403" s="91">
        <v>2</v>
      </c>
      <c r="Y403" s="91">
        <v>3</v>
      </c>
      <c r="Z403" s="91">
        <v>3</v>
      </c>
      <c r="AA403" s="92">
        <v>2</v>
      </c>
      <c r="AB403" s="91">
        <v>2</v>
      </c>
      <c r="AC403" s="91">
        <v>4</v>
      </c>
      <c r="AD403" s="91">
        <v>4</v>
      </c>
      <c r="AE403" s="91">
        <v>4</v>
      </c>
      <c r="AF403" s="90">
        <v>1</v>
      </c>
      <c r="AG403" s="91">
        <v>1</v>
      </c>
      <c r="AH403" s="91">
        <v>1</v>
      </c>
      <c r="AI403" s="91">
        <v>1</v>
      </c>
      <c r="AJ403" s="91">
        <v>1</v>
      </c>
      <c r="AK403" s="93">
        <f t="shared" si="56"/>
        <v>87.525204686139645</v>
      </c>
      <c r="AL403" s="116">
        <f t="shared" si="57"/>
        <v>75.716867672538115</v>
      </c>
      <c r="AM403" s="117">
        <f t="shared" si="58"/>
        <v>66.913909743742096</v>
      </c>
      <c r="AN403" s="118">
        <f t="shared" si="59"/>
        <v>55.105572730140537</v>
      </c>
      <c r="AO403" s="91" t="str">
        <f>IF(head!$F$82="S460","a0","b")</f>
        <v>b</v>
      </c>
      <c r="AP403" s="91">
        <f t="shared" si="64"/>
        <v>0.34</v>
      </c>
      <c r="AQ403" s="96">
        <f>IF(head!F$82="S235",235,IF(head!F$82="S275",275,IF(head!F$82="S355",355,IF(head!F$82="S420",420,460))))^0.5*head!$G$70*1000/(S403*3.1416*210000^0.5)</f>
        <v>1.8241792907520877</v>
      </c>
      <c r="AR403" s="96">
        <f t="shared" si="65"/>
        <v>2.43992552183225</v>
      </c>
      <c r="AS403" s="96">
        <f t="shared" si="66"/>
        <v>0.24628735084311229</v>
      </c>
      <c r="AT403" s="50">
        <f>IF(head!F$82="S235",235,IF(head!F$82="S275",275,IF(head!F$82="S355",355,IF(head!F$82="S420",420,460))))*AS403*J403/1000</f>
        <v>2221.2783082476935</v>
      </c>
      <c r="AU403" s="198">
        <f t="shared" si="48"/>
        <v>1924.0551819225814</v>
      </c>
      <c r="AV403" s="50">
        <f>3.1416*1.13*head!$G$66/(1.4*head!$G$67)*((1+3.1416^2*AU403^2/(1.4*head!$G$67*1000)^2*(0.45^2+1))^0.5+3.1416*0.45*database!AU403/(1.4*head!$G$67*1000))</f>
        <v>44.898722859363865</v>
      </c>
      <c r="AW403" s="50">
        <f>AV403/(head!$G$66*1000)*(210000*database!P403*81000*database!T403)^0.5</f>
        <v>16570532852.217997</v>
      </c>
      <c r="AX403" s="51">
        <f>IF(head!$F$82="S235",database!AF403,(IF(head!$F$82="S275",database!AG403,IF(head!$F$82="S355",database!AH403,IF(head!$F$82="S420",database!AI403,database!AJ403)))))</f>
        <v>1</v>
      </c>
      <c r="AY403" s="50">
        <f t="shared" si="60"/>
        <v>5590607.5912617361</v>
      </c>
      <c r="AZ403" s="197">
        <f>(AY403*VLOOKUP(head!$F$82,head!$L$1:$M$5,2)/AW403)^0.5</f>
        <v>0.34607915717042675</v>
      </c>
      <c r="BA403" s="97" t="str">
        <f t="shared" si="54"/>
        <v>HEB 600</v>
      </c>
    </row>
    <row r="404" spans="1:53">
      <c r="A404" s="109" t="s">
        <v>43</v>
      </c>
      <c r="B404" s="83">
        <f t="shared" si="55"/>
        <v>2306.1779936915095</v>
      </c>
      <c r="C404" s="110">
        <v>600</v>
      </c>
      <c r="D404" s="110">
        <v>300</v>
      </c>
      <c r="E404" s="127">
        <v>15.5</v>
      </c>
      <c r="F404" s="110">
        <v>30</v>
      </c>
      <c r="G404" s="110">
        <v>27</v>
      </c>
      <c r="H404" s="111">
        <v>211.91686480093438</v>
      </c>
      <c r="I404" s="112">
        <v>215.96623164426435</v>
      </c>
      <c r="J404" s="112">
        <v>26995.778955533042</v>
      </c>
      <c r="K404" s="112">
        <v>2.322646003293849</v>
      </c>
      <c r="L404" s="113">
        <v>1710411108.7599163</v>
      </c>
      <c r="M404" s="112">
        <v>5701370.3625330543</v>
      </c>
      <c r="N404" s="112">
        <v>6425136.2861945294</v>
      </c>
      <c r="O404" s="114">
        <v>251.71107390822721</v>
      </c>
      <c r="P404" s="112">
        <v>135302457.78963676</v>
      </c>
      <c r="Q404" s="112">
        <v>902016.38526424509</v>
      </c>
      <c r="R404" s="112">
        <v>1391057.5687047732</v>
      </c>
      <c r="S404" s="112">
        <v>70.795379009089743</v>
      </c>
      <c r="T404" s="113">
        <v>6796319.8320831796</v>
      </c>
      <c r="U404" s="115">
        <v>10837617089611</v>
      </c>
      <c r="V404" s="91">
        <v>1</v>
      </c>
      <c r="W404" s="91">
        <v>2</v>
      </c>
      <c r="X404" s="91">
        <v>3</v>
      </c>
      <c r="Y404" s="91">
        <v>3</v>
      </c>
      <c r="Z404" s="91">
        <v>4</v>
      </c>
      <c r="AA404" s="92">
        <v>2</v>
      </c>
      <c r="AB404" s="91">
        <v>3</v>
      </c>
      <c r="AC404" s="91">
        <v>4</v>
      </c>
      <c r="AD404" s="91">
        <v>4</v>
      </c>
      <c r="AE404" s="91">
        <v>4</v>
      </c>
      <c r="AF404" s="90">
        <v>1</v>
      </c>
      <c r="AG404" s="91">
        <v>1</v>
      </c>
      <c r="AH404" s="91">
        <v>1</v>
      </c>
      <c r="AI404" s="91">
        <v>1</v>
      </c>
      <c r="AJ404" s="91">
        <v>1</v>
      </c>
      <c r="AK404" s="93">
        <f t="shared" si="56"/>
        <v>86.037376699508073</v>
      </c>
      <c r="AL404" s="116">
        <f t="shared" si="57"/>
        <v>74.924528261455791</v>
      </c>
      <c r="AM404" s="117">
        <f t="shared" si="58"/>
        <v>66.677090628313692</v>
      </c>
      <c r="AN404" s="118">
        <f t="shared" si="59"/>
        <v>55.564242190261403</v>
      </c>
      <c r="AO404" s="91" t="str">
        <f>IF(head!$F$82="S460","a0","b")</f>
        <v>b</v>
      </c>
      <c r="AP404" s="91">
        <f t="shared" si="64"/>
        <v>0.34</v>
      </c>
      <c r="AQ404" s="96">
        <f>IF(head!F$82="S235",235,IF(head!F$82="S275",275,IF(head!F$82="S355",355,IF(head!F$82="S420",420,460))))^0.5*head!$G$70*1000/(S404*3.1416*210000^0.5)</f>
        <v>1.8486246076131443</v>
      </c>
      <c r="AR404" s="96">
        <f t="shared" si="65"/>
        <v>2.4889726532306602</v>
      </c>
      <c r="AS404" s="96">
        <f t="shared" si="66"/>
        <v>0.24064043676117591</v>
      </c>
      <c r="AT404" s="50">
        <f>IF(head!F$82="S235",235,IF(head!F$82="S275",275,IF(head!F$82="S355",355,IF(head!F$82="S420",420,460))))*AS404*J404/1000</f>
        <v>2306.1779936915095</v>
      </c>
      <c r="AU404" s="198">
        <f t="shared" si="48"/>
        <v>2033.2797482557046</v>
      </c>
      <c r="AV404" s="50">
        <f>3.1416*1.13*head!$G$66/(1.4*head!$G$67)*((1+3.1416^2*AU404^2/(1.4*head!$G$67*1000)^2*(0.45^2+1))^0.5+3.1416*0.45*database!AU404/(1.4*head!$G$67*1000))</f>
        <v>47.173893629374277</v>
      </c>
      <c r="AW404" s="50">
        <f>AV404/(head!$G$66*1000)*(210000*database!P404*81000*database!T404)^0.5</f>
        <v>18657078003.875023</v>
      </c>
      <c r="AX404" s="51">
        <f>IF(head!$F$82="S235",database!AF404,(IF(head!$F$82="S275",database!AG404,IF(head!$F$82="S355",database!AH404,IF(head!$F$82="S420",database!AI404,database!AJ404)))))</f>
        <v>1</v>
      </c>
      <c r="AY404" s="50">
        <f t="shared" si="60"/>
        <v>6425136.2861945294</v>
      </c>
      <c r="AZ404" s="197">
        <f>(AY404*VLOOKUP(head!$F$82,head!$L$1:$M$5,2)/AW404)^0.5</f>
        <v>0.34965000189648665</v>
      </c>
      <c r="BA404" s="97" t="str">
        <f t="shared" si="54"/>
        <v>HEB 650</v>
      </c>
    </row>
    <row r="405" spans="1:53">
      <c r="A405" s="109" t="s">
        <v>44</v>
      </c>
      <c r="B405" s="83">
        <f t="shared" si="55"/>
        <v>2391.2935027984349</v>
      </c>
      <c r="C405" s="110">
        <v>650</v>
      </c>
      <c r="D405" s="110">
        <v>300</v>
      </c>
      <c r="E405" s="127">
        <v>16</v>
      </c>
      <c r="F405" s="110">
        <v>31</v>
      </c>
      <c r="G405" s="110">
        <v>27</v>
      </c>
      <c r="H405" s="111">
        <v>224.77516480093436</v>
      </c>
      <c r="I405" s="112">
        <v>229.07023164426434</v>
      </c>
      <c r="J405" s="112">
        <v>28633.778955533042</v>
      </c>
      <c r="K405" s="112">
        <v>2.4216460032938487</v>
      </c>
      <c r="L405" s="113">
        <v>2106160995.1756408</v>
      </c>
      <c r="M405" s="112">
        <v>6480495.3697712021</v>
      </c>
      <c r="N405" s="112">
        <v>7319880.9811273217</v>
      </c>
      <c r="O405" s="114">
        <v>271.210468429294</v>
      </c>
      <c r="P405" s="112">
        <v>139839938.43517387</v>
      </c>
      <c r="Q405" s="112">
        <v>932266.25623449241</v>
      </c>
      <c r="R405" s="112">
        <v>1441412.2634436565</v>
      </c>
      <c r="S405" s="112">
        <v>69.883762330333937</v>
      </c>
      <c r="T405" s="113">
        <v>7520468.0278165806</v>
      </c>
      <c r="U405" s="115">
        <v>13218516382348.199</v>
      </c>
      <c r="V405" s="91">
        <v>2</v>
      </c>
      <c r="W405" s="91">
        <v>2</v>
      </c>
      <c r="X405" s="91">
        <v>3</v>
      </c>
      <c r="Y405" s="91">
        <v>4</v>
      </c>
      <c r="Z405" s="91">
        <v>4</v>
      </c>
      <c r="AA405" s="92">
        <v>3</v>
      </c>
      <c r="AB405" s="91">
        <v>4</v>
      </c>
      <c r="AC405" s="91">
        <v>4</v>
      </c>
      <c r="AD405" s="91">
        <v>4</v>
      </c>
      <c r="AE405" s="91">
        <v>4</v>
      </c>
      <c r="AF405" s="90">
        <v>1</v>
      </c>
      <c r="AG405" s="91">
        <v>1</v>
      </c>
      <c r="AH405" s="91">
        <v>1</v>
      </c>
      <c r="AI405" s="91">
        <v>1</v>
      </c>
      <c r="AJ405" s="91">
        <v>1</v>
      </c>
      <c r="AK405" s="93">
        <f t="shared" si="56"/>
        <v>84.573049441170681</v>
      </c>
      <c r="AL405" s="116">
        <f t="shared" si="57"/>
        <v>74.095913312338865</v>
      </c>
      <c r="AM405" s="117">
        <f t="shared" si="58"/>
        <v>66.355195482601644</v>
      </c>
      <c r="AN405" s="118">
        <f t="shared" si="59"/>
        <v>55.8780593537698</v>
      </c>
      <c r="AO405" s="91" t="str">
        <f>IF(head!$F$82="S460","a0","b")</f>
        <v>b</v>
      </c>
      <c r="AP405" s="91">
        <f t="shared" si="64"/>
        <v>0.34</v>
      </c>
      <c r="AQ405" s="96">
        <f>IF(head!F$82="S235",235,IF(head!F$82="S275",275,IF(head!F$82="S355",355,IF(head!F$82="S420",420,460))))^0.5*head!$G$70*1000/(S405*3.1416*210000^0.5)</f>
        <v>1.8727394658987155</v>
      </c>
      <c r="AR405" s="96">
        <f t="shared" si="65"/>
        <v>2.5379422627700849</v>
      </c>
      <c r="AS405" s="96">
        <f t="shared" si="66"/>
        <v>0.2352479582423504</v>
      </c>
      <c r="AT405" s="50">
        <f>IF(head!F$82="S235",235,IF(head!F$82="S275",275,IF(head!F$82="S355",355,IF(head!F$82="S420",420,460))))*AS405*J405/1000</f>
        <v>2391.2935027984349</v>
      </c>
      <c r="AU405" s="198">
        <f t="shared" si="48"/>
        <v>2134.6961169799356</v>
      </c>
      <c r="AV405" s="50">
        <f>3.1416*1.13*head!$G$66/(1.4*head!$G$67)*((1+3.1416^2*AU405^2/(1.4*head!$G$67*1000)^2*(0.45^2+1))^0.5+3.1416*0.45*database!AU405/(1.4*head!$G$67*1000))</f>
        <v>49.296956351534092</v>
      </c>
      <c r="AW405" s="50">
        <f>AV405/(head!$G$66*1000)*(210000*database!P405*81000*database!T405)^0.5</f>
        <v>20850204060.705605</v>
      </c>
      <c r="AX405" s="51">
        <f>IF(head!$F$82="S235",database!AF405,(IF(head!$F$82="S275",database!AG405,IF(head!$F$82="S355",database!AH405,IF(head!$F$82="S420",database!AI405,database!AJ405)))))</f>
        <v>1</v>
      </c>
      <c r="AY405" s="50">
        <f t="shared" si="60"/>
        <v>7319880.9811273217</v>
      </c>
      <c r="AZ405" s="197">
        <f>(AY405*VLOOKUP(head!$F$82,head!$L$1:$M$5,2)/AW405)^0.5</f>
        <v>0.35302952752135075</v>
      </c>
      <c r="BA405" s="97" t="str">
        <f t="shared" si="54"/>
        <v>HEB 700</v>
      </c>
    </row>
    <row r="406" spans="1:53">
      <c r="A406" s="109" t="s">
        <v>53</v>
      </c>
      <c r="B406" s="83">
        <f t="shared" si="55"/>
        <v>2480.1487726218684</v>
      </c>
      <c r="C406" s="110">
        <v>700</v>
      </c>
      <c r="D406" s="110">
        <v>300</v>
      </c>
      <c r="E406" s="127">
        <v>17</v>
      </c>
      <c r="F406" s="110">
        <v>32</v>
      </c>
      <c r="G406" s="110">
        <v>27</v>
      </c>
      <c r="H406" s="111">
        <v>240.50656480093437</v>
      </c>
      <c r="I406" s="112">
        <v>245.10223164426435</v>
      </c>
      <c r="J406" s="112">
        <v>30637.778955533042</v>
      </c>
      <c r="K406" s="112">
        <v>2.519646003293849</v>
      </c>
      <c r="L406" s="113">
        <v>2568884282.9481392</v>
      </c>
      <c r="M406" s="112">
        <v>7339669.3798518265</v>
      </c>
      <c r="N406" s="112">
        <v>8327131.676060115</v>
      </c>
      <c r="O406" s="114">
        <v>289.56337611007137</v>
      </c>
      <c r="P406" s="112">
        <v>144408560.14335638</v>
      </c>
      <c r="Q406" s="112">
        <v>962723.73428904254</v>
      </c>
      <c r="R406" s="112">
        <v>1495044.1529214229</v>
      </c>
      <c r="S406" s="112">
        <v>68.65431362709468</v>
      </c>
      <c r="T406" s="113">
        <v>8417791.3814453799</v>
      </c>
      <c r="U406" s="115">
        <v>15899734008012.5</v>
      </c>
      <c r="V406" s="91">
        <v>2</v>
      </c>
      <c r="W406" s="91">
        <v>2</v>
      </c>
      <c r="X406" s="91">
        <v>4</v>
      </c>
      <c r="Y406" s="91">
        <v>4</v>
      </c>
      <c r="Z406" s="91">
        <v>4</v>
      </c>
      <c r="AA406" s="92">
        <v>3</v>
      </c>
      <c r="AB406" s="91">
        <v>4</v>
      </c>
      <c r="AC406" s="91">
        <v>4</v>
      </c>
      <c r="AD406" s="91">
        <v>4</v>
      </c>
      <c r="AE406" s="91">
        <v>4</v>
      </c>
      <c r="AF406" s="90">
        <v>1</v>
      </c>
      <c r="AG406" s="91">
        <v>1</v>
      </c>
      <c r="AH406" s="91">
        <v>1</v>
      </c>
      <c r="AI406" s="91">
        <v>1</v>
      </c>
      <c r="AJ406" s="91">
        <v>1</v>
      </c>
      <c r="AK406" s="93">
        <f t="shared" si="56"/>
        <v>82.239838826136989</v>
      </c>
      <c r="AL406" s="116">
        <f t="shared" si="57"/>
        <v>72.448006316495437</v>
      </c>
      <c r="AM406" s="117">
        <f t="shared" si="58"/>
        <v>65.278883397610301</v>
      </c>
      <c r="AN406" s="118">
        <f t="shared" si="59"/>
        <v>55.487050887968749</v>
      </c>
      <c r="AO406" s="91" t="str">
        <f>IF(head!$F$82="S460","a0","b")</f>
        <v>b</v>
      </c>
      <c r="AP406" s="91">
        <f t="shared" si="64"/>
        <v>0.34</v>
      </c>
      <c r="AQ406" s="96">
        <f>IF(head!F$82="S235",235,IF(head!F$82="S275",275,IF(head!F$82="S355",355,IF(head!F$82="S420",420,460))))^0.5*head!$G$70*1000/(S406*3.1416*210000^0.5)</f>
        <v>1.9062761365930023</v>
      </c>
      <c r="AR406" s="96">
        <f t="shared" si="65"/>
        <v>2.6070112976927819</v>
      </c>
      <c r="AS406" s="96">
        <f t="shared" si="66"/>
        <v>0.22803005991085806</v>
      </c>
      <c r="AT406" s="50">
        <f>IF(head!F$82="S235",235,IF(head!F$82="S275",275,IF(head!F$82="S355",355,IF(head!F$82="S420",420,460))))*AS406*J406/1000</f>
        <v>2480.1487726218684</v>
      </c>
      <c r="AU406" s="198">
        <f t="shared" si="48"/>
        <v>2212.9061114095593</v>
      </c>
      <c r="AV406" s="50">
        <f>3.1416*1.13*head!$G$66/(1.4*head!$G$67)*((1+3.1416^2*AU406^2/(1.4*head!$G$67*1000)^2*(0.45^2+1))^0.5+3.1416*0.45*database!AU406/(1.4*head!$G$67*1000))</f>
        <v>50.940353654662665</v>
      </c>
      <c r="AW406" s="50">
        <f>AV406/(head!$G$66*1000)*(210000*database!P406*81000*database!T406)^0.5</f>
        <v>23163792219.710548</v>
      </c>
      <c r="AX406" s="51">
        <f>IF(head!$F$82="S235",database!AF406,(IF(head!$F$82="S275",database!AG406,IF(head!$F$82="S355",database!AH406,IF(head!$F$82="S420",database!AI406,database!AJ406)))))</f>
        <v>1</v>
      </c>
      <c r="AY406" s="50">
        <f t="shared" si="60"/>
        <v>8327131.676060115</v>
      </c>
      <c r="AZ406" s="197">
        <f>(AY406*VLOOKUP(head!$F$82,head!$L$1:$M$5,2)/AW406)^0.5</f>
        <v>0.35723751714465146</v>
      </c>
      <c r="BA406" s="97" t="str">
        <f t="shared" si="54"/>
        <v>HEB 800</v>
      </c>
    </row>
    <row r="407" spans="1:53">
      <c r="A407" s="109" t="s">
        <v>54</v>
      </c>
      <c r="B407" s="83">
        <f t="shared" si="55"/>
        <v>2576.2814895978681</v>
      </c>
      <c r="C407" s="110">
        <v>800</v>
      </c>
      <c r="D407" s="110">
        <v>300</v>
      </c>
      <c r="E407" s="127">
        <v>17.5</v>
      </c>
      <c r="F407" s="110">
        <v>33</v>
      </c>
      <c r="G407" s="110">
        <v>30</v>
      </c>
      <c r="H407" s="111">
        <v>262.32789790238814</v>
      </c>
      <c r="I407" s="112">
        <v>267.34053289415351</v>
      </c>
      <c r="J407" s="112">
        <v>33417.566611769187</v>
      </c>
      <c r="K407" s="112">
        <v>2.7134955592153873</v>
      </c>
      <c r="L407" s="113">
        <v>3590836246.6863294</v>
      </c>
      <c r="M407" s="112">
        <v>8977090.6167158242</v>
      </c>
      <c r="N407" s="112">
        <v>10228712.448166216</v>
      </c>
      <c r="O407" s="114">
        <v>327.8010867134447</v>
      </c>
      <c r="P407" s="112">
        <v>149036699.64479938</v>
      </c>
      <c r="Q407" s="112">
        <v>993577.99763199582</v>
      </c>
      <c r="R407" s="112">
        <v>1553133.8312060561</v>
      </c>
      <c r="S407" s="112">
        <v>66.781966156609442</v>
      </c>
      <c r="T407" s="113">
        <v>9622068.7727810405</v>
      </c>
      <c r="U407" s="115">
        <v>21616694189768.301</v>
      </c>
      <c r="V407" s="91">
        <v>3</v>
      </c>
      <c r="W407" s="91">
        <v>3</v>
      </c>
      <c r="X407" s="91">
        <v>4</v>
      </c>
      <c r="Y407" s="91">
        <v>4</v>
      </c>
      <c r="Z407" s="91">
        <v>4</v>
      </c>
      <c r="AA407" s="92">
        <v>4</v>
      </c>
      <c r="AB407" s="91">
        <v>4</v>
      </c>
      <c r="AC407" s="91">
        <v>4</v>
      </c>
      <c r="AD407" s="91">
        <v>4</v>
      </c>
      <c r="AE407" s="91">
        <v>4</v>
      </c>
      <c r="AF407" s="90">
        <v>1</v>
      </c>
      <c r="AG407" s="91">
        <v>1</v>
      </c>
      <c r="AH407" s="91">
        <v>1</v>
      </c>
      <c r="AI407" s="91">
        <v>1</v>
      </c>
      <c r="AJ407" s="91">
        <v>1</v>
      </c>
      <c r="AK407" s="93">
        <f t="shared" si="56"/>
        <v>81.199675330630853</v>
      </c>
      <c r="AL407" s="116">
        <f t="shared" si="57"/>
        <v>72.222360989186711</v>
      </c>
      <c r="AM407" s="117">
        <f t="shared" si="58"/>
        <v>65.833638503923609</v>
      </c>
      <c r="AN407" s="118">
        <f t="shared" si="59"/>
        <v>56.856324162479481</v>
      </c>
      <c r="AO407" s="91" t="str">
        <f>IF(head!$F$82="S460","a0","b")</f>
        <v>b</v>
      </c>
      <c r="AP407" s="91">
        <f>IF(AO407="a0",0.13,IF(AO407="a",0.21,IF(AO407="b",0.34,IF(AO407="c",0.49,0.76))))</f>
        <v>0.34</v>
      </c>
      <c r="AQ407" s="96">
        <f>IF(head!F$82="S235",235,IF(head!F$82="S275",275,IF(head!F$82="S355",355,IF(head!F$82="S420",420,460))))^0.5*head!$G$70*1000/(S407*3.1416*210000^0.5)</f>
        <v>1.9597218721382266</v>
      </c>
      <c r="AR407" s="96">
        <f>0.5*(1+AP407*(AQ407-0.2)+AQ407^2)</f>
        <v>2.7194076263319764</v>
      </c>
      <c r="AS407" s="96">
        <f>IF(AQ407&lt;=0.2,1,1/(AR407+(AR407^2-AQ407^2)^0.5))</f>
        <v>0.2171651527151548</v>
      </c>
      <c r="AT407" s="50">
        <f>IF(head!F$82="S235",235,IF(head!F$82="S275",275,IF(head!F$82="S355",355,IF(head!F$82="S420",420,460))))*AS407*J407/1000</f>
        <v>2576.2814895978681</v>
      </c>
      <c r="AU407" s="198">
        <f t="shared" si="48"/>
        <v>2413.3902225587713</v>
      </c>
      <c r="AV407" s="50">
        <f>3.1416*1.13*head!$G$66/(1.4*head!$G$67)*((1+3.1416^2*AU407^2/(1.4*head!$G$67*1000)^2*(0.45^2+1))^0.5+3.1416*0.45*database!AU407/(1.4*head!$G$67*1000))</f>
        <v>55.174050906215705</v>
      </c>
      <c r="AW407" s="50">
        <f>AV407/(head!$G$66*1000)*(210000*database!P407*81000*database!T407)^0.5</f>
        <v>27250085467.485977</v>
      </c>
      <c r="AX407" s="51">
        <f>IF(head!$F$82="S235",database!AF407,(IF(head!$F$82="S275",database!AG407,IF(head!$F$82="S355",database!AH407,IF(head!$F$82="S420",database!AI407,database!AJ407)))))</f>
        <v>1</v>
      </c>
      <c r="AY407" s="50">
        <f t="shared" si="60"/>
        <v>10228712.448166216</v>
      </c>
      <c r="AZ407" s="197">
        <f>(AY407*VLOOKUP(head!$F$82,head!$L$1:$M$5,2)/AW407)^0.5</f>
        <v>0.36504022802989311</v>
      </c>
      <c r="BA407" s="97" t="str">
        <f t="shared" si="54"/>
        <v>HEB 900</v>
      </c>
    </row>
    <row r="408" spans="1:53">
      <c r="A408" s="109" t="s">
        <v>55</v>
      </c>
      <c r="B408" s="83">
        <f t="shared" si="55"/>
        <v>2748.0579302335368</v>
      </c>
      <c r="C408" s="110">
        <v>900</v>
      </c>
      <c r="D408" s="110">
        <v>300</v>
      </c>
      <c r="E408" s="127">
        <v>18.5</v>
      </c>
      <c r="F408" s="110">
        <v>35</v>
      </c>
      <c r="G408" s="110">
        <v>30</v>
      </c>
      <c r="H408" s="111">
        <v>291.45139790238812</v>
      </c>
      <c r="I408" s="112">
        <v>297.02053289415346</v>
      </c>
      <c r="J408" s="112">
        <v>37127.566611769187</v>
      </c>
      <c r="K408" s="112">
        <v>2.9114955592153873</v>
      </c>
      <c r="L408" s="113">
        <v>4940647471.8504686</v>
      </c>
      <c r="M408" s="112">
        <v>10979216.604112152</v>
      </c>
      <c r="N408" s="112">
        <v>12584100.645531137</v>
      </c>
      <c r="O408" s="114">
        <v>364.79064341850341</v>
      </c>
      <c r="P408" s="112">
        <v>158158952.03432503</v>
      </c>
      <c r="Q408" s="112">
        <v>1054393.0135621668</v>
      </c>
      <c r="R408" s="112">
        <v>1658340.1145119406</v>
      </c>
      <c r="S408" s="112">
        <v>65.267750752546405</v>
      </c>
      <c r="T408" s="113">
        <v>11545405.479068199</v>
      </c>
      <c r="U408" s="115">
        <v>29195795646917.398</v>
      </c>
      <c r="V408" s="91">
        <v>3</v>
      </c>
      <c r="W408" s="91">
        <v>4</v>
      </c>
      <c r="X408" s="91">
        <v>4</v>
      </c>
      <c r="Y408" s="91">
        <v>4</v>
      </c>
      <c r="Z408" s="91">
        <v>4</v>
      </c>
      <c r="AA408" s="92">
        <v>4</v>
      </c>
      <c r="AB408" s="91">
        <v>4</v>
      </c>
      <c r="AC408" s="91">
        <v>4</v>
      </c>
      <c r="AD408" s="91">
        <v>4</v>
      </c>
      <c r="AE408" s="91">
        <v>4</v>
      </c>
      <c r="AF408" s="90">
        <v>1</v>
      </c>
      <c r="AG408" s="91">
        <v>1</v>
      </c>
      <c r="AH408" s="91">
        <v>1</v>
      </c>
      <c r="AI408" s="91">
        <v>1</v>
      </c>
      <c r="AJ408" s="91">
        <v>1</v>
      </c>
      <c r="AK408" s="93">
        <f t="shared" si="56"/>
        <v>78.418701383259062</v>
      </c>
      <c r="AL408" s="116">
        <f t="shared" si="57"/>
        <v>70.338451925032999</v>
      </c>
      <c r="AM408" s="117">
        <f t="shared" si="58"/>
        <v>64.641995665808494</v>
      </c>
      <c r="AN408" s="118">
        <f t="shared" si="59"/>
        <v>56.561746207582431</v>
      </c>
      <c r="AO408" s="91" t="str">
        <f>IF(head!$F$82="S460","a0","b")</f>
        <v>b</v>
      </c>
      <c r="AP408" s="91">
        <f>IF(AO408="a0",0.13,IF(AO408="a",0.21,IF(AO408="b",0.34,IF(AO408="c",0.49,0.76))))</f>
        <v>0.34</v>
      </c>
      <c r="AQ408" s="96">
        <f>IF(head!F$82="S235",235,IF(head!F$82="S275",275,IF(head!F$82="S355",355,IF(head!F$82="S420",420,460))))^0.5*head!$G$70*1000/(S408*3.1416*210000^0.5)</f>
        <v>2.0051875272627857</v>
      </c>
      <c r="AR408" s="96">
        <f>0.5*(1+AP408*(AQ408-0.2)+AQ408^2)</f>
        <v>2.8172703893797961</v>
      </c>
      <c r="AS408" s="96">
        <f>IF(AQ408&lt;=0.2,1,1/(AR408+(AR408^2-AQ408^2)^0.5))</f>
        <v>0.20849759250651054</v>
      </c>
      <c r="AT408" s="50">
        <f>IF(head!F$82="S235",235,IF(head!F$82="S275",275,IF(head!F$82="S355",355,IF(head!F$82="S420",420,460))))*AS408*J408/1000</f>
        <v>2748.0579302335368</v>
      </c>
      <c r="AU408" s="198">
        <f t="shared" si="48"/>
        <v>2560.4877385760997</v>
      </c>
      <c r="AV408" s="50">
        <f>3.1416*1.13*head!$G$66/(1.4*head!$G$67)*((1+3.1416^2*AU408^2/(1.4*head!$G$67*1000)^2*(0.45^2+1))^0.5+3.1416*0.45*database!AU408/(1.4*head!$G$67*1000))</f>
        <v>58.296704188937902</v>
      </c>
      <c r="AW408" s="50">
        <f>AV408/(head!$G$66*1000)*(210000*database!P408*81000*database!T408)^0.5</f>
        <v>32489845322.153881</v>
      </c>
      <c r="AX408" s="51">
        <f>IF(head!$F$82="S235",database!AF408,(IF(head!$F$82="S275",database!AG408,IF(head!$F$82="S355",database!AH408,IF(head!$F$82="S420",database!AI408,database!AJ408)))))</f>
        <v>1</v>
      </c>
      <c r="AY408" s="50">
        <f t="shared" si="60"/>
        <v>12584100.645531137</v>
      </c>
      <c r="AZ408" s="197">
        <f>(AY408*VLOOKUP(head!$F$82,head!$L$1:$M$5,2)/AW408)^0.5</f>
        <v>0.37081000724989444</v>
      </c>
      <c r="BA408" s="97" t="str">
        <f t="shared" si="54"/>
        <v>HEB 1000</v>
      </c>
    </row>
    <row r="409" spans="1:53">
      <c r="A409" s="109" t="s">
        <v>56</v>
      </c>
      <c r="B409" s="83">
        <f t="shared" si="55"/>
        <v>2841.9889932738897</v>
      </c>
      <c r="C409" s="110">
        <v>1000</v>
      </c>
      <c r="D409" s="110">
        <v>300</v>
      </c>
      <c r="E409" s="127">
        <v>19</v>
      </c>
      <c r="F409" s="110">
        <v>36</v>
      </c>
      <c r="G409" s="110">
        <v>30</v>
      </c>
      <c r="H409" s="111">
        <v>314.03584790238807</v>
      </c>
      <c r="I409" s="112">
        <v>320.03653289415348</v>
      </c>
      <c r="J409" s="112">
        <v>40004.566611769187</v>
      </c>
      <c r="K409" s="112">
        <v>3.1104955592153876</v>
      </c>
      <c r="L409" s="113">
        <v>6447482941.5473776</v>
      </c>
      <c r="M409" s="112">
        <v>12894965.883094756</v>
      </c>
      <c r="N409" s="112">
        <v>14855117.909507828</v>
      </c>
      <c r="O409" s="114">
        <v>401.45818421055304</v>
      </c>
      <c r="P409" s="112">
        <v>162757653.87699425</v>
      </c>
      <c r="Q409" s="112">
        <v>1085051.0258466282</v>
      </c>
      <c r="R409" s="112">
        <v>1716268.381164883</v>
      </c>
      <c r="S409" s="112">
        <v>63.784613098036012</v>
      </c>
      <c r="T409" s="113">
        <v>12718132.8050036</v>
      </c>
      <c r="U409" s="115">
        <v>37339770699416.703</v>
      </c>
      <c r="V409" s="91">
        <v>4</v>
      </c>
      <c r="W409" s="91">
        <v>4</v>
      </c>
      <c r="X409" s="91">
        <v>4</v>
      </c>
      <c r="Y409" s="91">
        <v>4</v>
      </c>
      <c r="Z409" s="91">
        <v>4</v>
      </c>
      <c r="AA409" s="92">
        <v>4</v>
      </c>
      <c r="AB409" s="91">
        <v>4</v>
      </c>
      <c r="AC409" s="91">
        <v>4</v>
      </c>
      <c r="AD409" s="91">
        <v>4</v>
      </c>
      <c r="AE409" s="91">
        <v>4</v>
      </c>
      <c r="AF409" s="90">
        <v>1</v>
      </c>
      <c r="AG409" s="91">
        <v>1</v>
      </c>
      <c r="AH409" s="91">
        <v>1</v>
      </c>
      <c r="AI409" s="91">
        <v>1</v>
      </c>
      <c r="AJ409" s="91">
        <v>1</v>
      </c>
      <c r="AK409" s="93">
        <f t="shared" si="56"/>
        <v>77.753512227783816</v>
      </c>
      <c r="AL409" s="116">
        <f t="shared" si="57"/>
        <v>70.254368369748832</v>
      </c>
      <c r="AM409" s="117">
        <f t="shared" si="58"/>
        <v>64.992580102969796</v>
      </c>
      <c r="AN409" s="118">
        <f t="shared" si="59"/>
        <v>57.493436244934827</v>
      </c>
      <c r="AO409" s="91" t="str">
        <f>IF(head!$F$82="S460","a0","b")</f>
        <v>b</v>
      </c>
      <c r="AP409" s="91">
        <f>IF(AO409="a0",0.13,IF(AO409="a",0.21,IF(AO409="b",0.34,IF(AO409="c",0.49,0.76))))</f>
        <v>0.34</v>
      </c>
      <c r="AQ409" s="96">
        <f>IF(head!F$82="S235",235,IF(head!F$82="S275",275,IF(head!F$82="S355",355,IF(head!F$82="S420",420,460))))^0.5*head!$G$70*1000/(S409*3.1416*210000^0.5)</f>
        <v>2.0518127081895257</v>
      </c>
      <c r="AR409" s="96">
        <f>0.5*(1+AP409*(AQ409-0.2)+AQ409^2)</f>
        <v>2.9197758551362369</v>
      </c>
      <c r="AS409" s="96">
        <f>IF(AQ409&lt;=0.2,1,1/(AR409+(AR409^2-AQ409^2)^0.5))</f>
        <v>0.20011722350716335</v>
      </c>
      <c r="AT409" s="50">
        <f>IF(head!F$82="S235",235,IF(head!F$82="S275",275,IF(head!F$82="S355",355,IF(head!F$82="S420",420,460))))*AS409*J409/1000</f>
        <v>2841.9889932738897</v>
      </c>
      <c r="AU409" s="198">
        <f t="shared" si="48"/>
        <v>2758.9338230177204</v>
      </c>
      <c r="AV409" s="50">
        <f>3.1416*1.13*head!$G$66/(1.4*head!$G$67)*((1+3.1416^2*AU409^2/(1.4*head!$G$67*1000)^2*(0.45^2+1))^0.5+3.1416*0.45*database!AU409/(1.4*head!$G$67*1000))</f>
        <v>62.527369452858899</v>
      </c>
      <c r="AW409" s="50">
        <f>AV409/(head!$G$66*1000)*(210000*database!P409*81000*database!T409)^0.5</f>
        <v>37102630668.152657</v>
      </c>
      <c r="AX409" s="51">
        <f>IF(head!$F$82="S235",database!AF409,(IF(head!$F$82="S275",database!AG409,IF(head!$F$82="S355",database!AH409,IF(head!$F$82="S420",database!AI409,database!AJ409)))))</f>
        <v>1</v>
      </c>
      <c r="AY409" s="50">
        <f t="shared" si="60"/>
        <v>14855117.909507828</v>
      </c>
      <c r="AZ409" s="197">
        <f>(AY409*VLOOKUP(head!$F$82,head!$L$1:$M$5,2)/AW409)^0.5</f>
        <v>0.37700740156461604</v>
      </c>
      <c r="BA409" s="97" t="s">
        <v>153</v>
      </c>
    </row>
    <row r="410" spans="1:53">
      <c r="A410" s="98" t="s">
        <v>47</v>
      </c>
      <c r="B410" s="62">
        <v>0</v>
      </c>
      <c r="C410" s="99" t="s">
        <v>47</v>
      </c>
      <c r="D410" s="99" t="s">
        <v>47</v>
      </c>
      <c r="E410" s="126" t="s">
        <v>47</v>
      </c>
      <c r="F410" s="99" t="s">
        <v>47</v>
      </c>
      <c r="G410" s="99" t="s">
        <v>47</v>
      </c>
      <c r="H410" s="100" t="s">
        <v>47</v>
      </c>
      <c r="I410" s="101" t="s">
        <v>47</v>
      </c>
      <c r="J410" s="101" t="s">
        <v>47</v>
      </c>
      <c r="K410" s="101" t="s">
        <v>47</v>
      </c>
      <c r="L410" s="102" t="s">
        <v>47</v>
      </c>
      <c r="M410" s="101" t="s">
        <v>47</v>
      </c>
      <c r="N410" s="101" t="s">
        <v>47</v>
      </c>
      <c r="O410" s="103" t="s">
        <v>47</v>
      </c>
      <c r="P410" s="101" t="s">
        <v>47</v>
      </c>
      <c r="Q410" s="101" t="s">
        <v>47</v>
      </c>
      <c r="R410" s="101" t="s">
        <v>47</v>
      </c>
      <c r="S410" s="101" t="s">
        <v>47</v>
      </c>
      <c r="T410" s="102" t="s">
        <v>47</v>
      </c>
      <c r="U410" s="104" t="s">
        <v>47</v>
      </c>
      <c r="V410" s="70" t="s">
        <v>47</v>
      </c>
      <c r="W410" s="70" t="s">
        <v>47</v>
      </c>
      <c r="X410" s="70" t="s">
        <v>47</v>
      </c>
      <c r="Y410" s="70" t="s">
        <v>47</v>
      </c>
      <c r="Z410" s="70" t="s">
        <v>47</v>
      </c>
      <c r="AA410" s="71" t="s">
        <v>47</v>
      </c>
      <c r="AB410" s="70" t="s">
        <v>47</v>
      </c>
      <c r="AC410" s="70" t="s">
        <v>47</v>
      </c>
      <c r="AD410" s="70" t="s">
        <v>47</v>
      </c>
      <c r="AE410" s="70" t="s">
        <v>47</v>
      </c>
      <c r="AF410" s="69"/>
      <c r="AG410" s="70"/>
      <c r="AH410" s="70"/>
      <c r="AI410" s="70"/>
      <c r="AJ410" s="70"/>
      <c r="AK410" s="78"/>
      <c r="AL410" s="79"/>
      <c r="AM410" s="107"/>
      <c r="AN410" s="81"/>
      <c r="AO410" s="70" t="s">
        <v>47</v>
      </c>
      <c r="AP410" s="70" t="s">
        <v>47</v>
      </c>
      <c r="AQ410" s="72" t="s">
        <v>47</v>
      </c>
      <c r="AR410" s="72" t="s">
        <v>47</v>
      </c>
      <c r="AS410" s="72" t="s">
        <v>47</v>
      </c>
      <c r="AT410" s="52" t="s">
        <v>47</v>
      </c>
      <c r="AU410" s="190"/>
      <c r="AV410" s="52"/>
      <c r="AW410" s="52"/>
      <c r="AX410" s="105"/>
      <c r="AY410" s="52"/>
      <c r="AZ410" s="191"/>
      <c r="BA410" s="77" t="str">
        <f t="shared" ref="BA410:BA433" si="67">A411</f>
        <v>HEM 100</v>
      </c>
    </row>
    <row r="411" spans="1:53">
      <c r="A411" s="98" t="s">
        <v>57</v>
      </c>
      <c r="B411" s="62">
        <f t="shared" ref="B411:B474" si="68">AT411</f>
        <v>75.051934689209759</v>
      </c>
      <c r="C411" s="99">
        <v>120</v>
      </c>
      <c r="D411" s="99">
        <v>106</v>
      </c>
      <c r="E411" s="126">
        <v>12</v>
      </c>
      <c r="F411" s="99">
        <v>20</v>
      </c>
      <c r="G411" s="99">
        <v>12</v>
      </c>
      <c r="H411" s="100">
        <v>41.790343664382092</v>
      </c>
      <c r="I411" s="101">
        <v>42.588885263064554</v>
      </c>
      <c r="J411" s="101">
        <v>5323.6106578830695</v>
      </c>
      <c r="K411" s="101">
        <v>0.61939822368615505</v>
      </c>
      <c r="L411" s="102">
        <v>11426118.072797449</v>
      </c>
      <c r="M411" s="101">
        <v>190435.30121329083</v>
      </c>
      <c r="N411" s="101">
        <v>235813.09842072593</v>
      </c>
      <c r="O411" s="103">
        <v>46.328283640432346</v>
      </c>
      <c r="P411" s="101">
        <v>3991513.1701712385</v>
      </c>
      <c r="Q411" s="101">
        <v>75311.56924851393</v>
      </c>
      <c r="R411" s="101">
        <v>116312.99184189526</v>
      </c>
      <c r="S411" s="101">
        <v>27.382029900840589</v>
      </c>
      <c r="T411" s="102">
        <v>672737.86647246405</v>
      </c>
      <c r="U411" s="104">
        <v>9429682864.8547192</v>
      </c>
      <c r="V411" s="70">
        <v>1</v>
      </c>
      <c r="W411" s="70">
        <v>1</v>
      </c>
      <c r="X411" s="70">
        <v>1</v>
      </c>
      <c r="Y411" s="70">
        <v>1</v>
      </c>
      <c r="Z411" s="70">
        <v>1</v>
      </c>
      <c r="AA411" s="71">
        <v>1</v>
      </c>
      <c r="AB411" s="70">
        <v>1</v>
      </c>
      <c r="AC411" s="70">
        <v>1</v>
      </c>
      <c r="AD411" s="70">
        <v>1</v>
      </c>
      <c r="AE411" s="70">
        <v>1</v>
      </c>
      <c r="AF411" s="69">
        <v>1</v>
      </c>
      <c r="AG411" s="70">
        <v>1</v>
      </c>
      <c r="AH411" s="70">
        <v>1</v>
      </c>
      <c r="AI411" s="70">
        <v>1</v>
      </c>
      <c r="AJ411" s="70">
        <v>1</v>
      </c>
      <c r="AK411" s="78">
        <f t="shared" ref="AK411:AK423" si="69">K411/J411*1000000</f>
        <v>116.34927185536486</v>
      </c>
      <c r="AL411" s="106">
        <f t="shared" ref="AL411:AL434" si="70">(K411*1000-D411)/J411*1000</f>
        <v>96.43797352571751</v>
      </c>
      <c r="AM411" s="107">
        <f t="shared" si="58"/>
        <v>84.904781556609464</v>
      </c>
      <c r="AN411" s="108">
        <f t="shared" ref="AN411:AN434" si="71">(2*C411+D411)/J411*1000</f>
        <v>64.993483226962113</v>
      </c>
      <c r="AO411" s="70" t="str">
        <f>IF(head!$F$82="S460","a","c")</f>
        <v>c</v>
      </c>
      <c r="AP411" s="70">
        <f t="shared" ref="AP411:AP434" si="72">IF(AO411="a0",0.13,IF(AO411="a",0.21,IF(AO411="b",0.34,IF(AO411="c",0.49,0.76))))</f>
        <v>0.49</v>
      </c>
      <c r="AQ411" s="72">
        <f>IF(head!F$82="S235",235,IF(head!F$82="S275",275,IF(head!F$82="S355",355,IF(head!F$82="S420",420,460))))^0.5*head!$G$70*1000/(S411*3.1416*210000^0.5)</f>
        <v>4.7795609096710798</v>
      </c>
      <c r="AR411" s="72">
        <f t="shared" ref="AR411:AR434" si="73">0.5*(1+AP411*(AQ411-0.2)+AQ411^2)</f>
        <v>13.044093667497334</v>
      </c>
      <c r="AS411" s="72">
        <f t="shared" ref="AS411:AS434" si="74">IF(AQ411&lt;=0.2,1,1/(AR411+(AR411^2-AQ411^2)^0.5))</f>
        <v>3.9712502307043963E-2</v>
      </c>
      <c r="AT411" s="52">
        <f>IF(head!F$82="S235",235,IF(head!F$82="S275",275,IF(head!F$82="S355",355,IF(head!F$82="S420",420,460))))*AS411*J411/1000</f>
        <v>75.051934689209759</v>
      </c>
      <c r="AU411" s="192">
        <f t="shared" si="48"/>
        <v>190.63065699391393</v>
      </c>
      <c r="AV411" s="52">
        <f>3.1416*1.13*head!$G$66/(1.4*head!$G$67)*((1+3.1416^2*AU411^2/(1.4*head!$G$67*1000)^2*(0.45^2+1))^0.5+3.1416*0.45*database!AU411/(1.4*head!$G$67*1000))</f>
        <v>14.242975923696935</v>
      </c>
      <c r="AW411" s="52">
        <f>AV411/(head!$G$66*1000)*(210000*database!P411*81000*database!T411)^0.5</f>
        <v>304399978.22585309</v>
      </c>
      <c r="AX411" s="105">
        <f>IF(head!$F$82="S235",database!AF411,(IF(head!$F$82="S275",database!AG411,IF(head!$F$82="S355",database!AH411,IF(head!$F$82="S420",database!AI411,database!AJ411)))))</f>
        <v>1</v>
      </c>
      <c r="AY411" s="52">
        <f t="shared" ref="AY411:AY434" si="75">IF(AX411&lt;=2,N411,M411)</f>
        <v>235813.09842072593</v>
      </c>
      <c r="AZ411" s="191">
        <f>(AY411*VLOOKUP(head!$F$82,head!$L$1:$M$5,2)/AW411)^0.5</f>
        <v>0.52441587530731915</v>
      </c>
      <c r="BA411" s="77" t="str">
        <f t="shared" si="67"/>
        <v>HEM 120</v>
      </c>
    </row>
    <row r="412" spans="1:53">
      <c r="A412" s="98" t="s">
        <v>58</v>
      </c>
      <c r="B412" s="62">
        <f t="shared" si="68"/>
        <v>129.76456361576541</v>
      </c>
      <c r="C412" s="99">
        <v>140</v>
      </c>
      <c r="D412" s="99">
        <v>126</v>
      </c>
      <c r="E412" s="126">
        <v>12.5</v>
      </c>
      <c r="F412" s="99">
        <v>21</v>
      </c>
      <c r="G412" s="99">
        <v>12</v>
      </c>
      <c r="H412" s="100">
        <v>52.128793664382094</v>
      </c>
      <c r="I412" s="101">
        <v>53.124885263064556</v>
      </c>
      <c r="J412" s="101">
        <v>6640.6106578830695</v>
      </c>
      <c r="K412" s="101">
        <v>0.73839822368615504</v>
      </c>
      <c r="L412" s="102">
        <v>20175725.307659045</v>
      </c>
      <c r="M412" s="101">
        <v>288224.64725227206</v>
      </c>
      <c r="N412" s="101">
        <v>350612.0943416736</v>
      </c>
      <c r="O412" s="103">
        <v>55.1201726384841</v>
      </c>
      <c r="P412" s="101">
        <v>7027750.5792583032</v>
      </c>
      <c r="Q412" s="101">
        <v>111551.59649616355</v>
      </c>
      <c r="R412" s="101">
        <v>171630.01950636602</v>
      </c>
      <c r="S412" s="101">
        <v>32.531505398351378</v>
      </c>
      <c r="T412" s="102">
        <v>905220.85079599696</v>
      </c>
      <c r="U412" s="104">
        <v>23886167308.1479</v>
      </c>
      <c r="V412" s="70">
        <v>1</v>
      </c>
      <c r="W412" s="70">
        <v>1</v>
      </c>
      <c r="X412" s="70">
        <v>1</v>
      </c>
      <c r="Y412" s="70">
        <v>1</v>
      </c>
      <c r="Z412" s="70">
        <v>1</v>
      </c>
      <c r="AA412" s="71">
        <v>1</v>
      </c>
      <c r="AB412" s="70">
        <v>1</v>
      </c>
      <c r="AC412" s="70">
        <v>1</v>
      </c>
      <c r="AD412" s="70">
        <v>1</v>
      </c>
      <c r="AE412" s="70">
        <v>1</v>
      </c>
      <c r="AF412" s="69">
        <v>1</v>
      </c>
      <c r="AG412" s="70">
        <v>1</v>
      </c>
      <c r="AH412" s="70">
        <v>1</v>
      </c>
      <c r="AI412" s="70">
        <v>1</v>
      </c>
      <c r="AJ412" s="70">
        <v>1</v>
      </c>
      <c r="AK412" s="78">
        <f t="shared" si="69"/>
        <v>111.1943256016075</v>
      </c>
      <c r="AL412" s="106">
        <f t="shared" si="70"/>
        <v>92.220166975032186</v>
      </c>
      <c r="AM412" s="107">
        <f t="shared" si="58"/>
        <v>80.113114201095769</v>
      </c>
      <c r="AN412" s="108">
        <f t="shared" si="71"/>
        <v>61.138955574520445</v>
      </c>
      <c r="AO412" s="70" t="str">
        <f>IF(head!$F$82="S460","a","c")</f>
        <v>c</v>
      </c>
      <c r="AP412" s="70">
        <f t="shared" si="72"/>
        <v>0.49</v>
      </c>
      <c r="AQ412" s="72">
        <f>IF(head!F$82="S235",235,IF(head!F$82="S275",275,IF(head!F$82="S355",355,IF(head!F$82="S420",420,460))))^0.5*head!$G$70*1000/(S412*3.1416*210000^0.5)</f>
        <v>4.0229948826203028</v>
      </c>
      <c r="AR412" s="72">
        <f t="shared" si="73"/>
        <v>9.5288776590365458</v>
      </c>
      <c r="AS412" s="72">
        <f t="shared" si="74"/>
        <v>5.5045236176030771E-2</v>
      </c>
      <c r="AT412" s="52">
        <f>IF(head!F$82="S235",235,IF(head!F$82="S275",275,IF(head!F$82="S355",355,IF(head!F$82="S420",420,460))))*AS412*J412/1000</f>
        <v>129.76456361576541</v>
      </c>
      <c r="AU412" s="192">
        <f t="shared" si="48"/>
        <v>261.55504326677442</v>
      </c>
      <c r="AV412" s="52">
        <f>3.1416*1.13*head!$G$66/(1.4*head!$G$67)*((1+3.1416^2*AU412^2/(1.4*head!$G$67*1000)^2*(0.45^2+1))^0.5+3.1416*0.45*database!AU412/(1.4*head!$G$67*1000))</f>
        <v>14.993260294955549</v>
      </c>
      <c r="AW412" s="52">
        <f>AV412/(head!$G$66*1000)*(210000*database!P412*81000*database!T412)^0.5</f>
        <v>493212053.66855597</v>
      </c>
      <c r="AX412" s="105">
        <f>IF(head!$F$82="S235",database!AF412,(IF(head!$F$82="S275",database!AG412,IF(head!$F$82="S355",database!AH412,IF(head!$F$82="S420",database!AI412,database!AJ412)))))</f>
        <v>1</v>
      </c>
      <c r="AY412" s="52">
        <f t="shared" si="75"/>
        <v>350612.0943416736</v>
      </c>
      <c r="AZ412" s="191">
        <f>(AY412*VLOOKUP(head!$F$82,head!$L$1:$M$5,2)/AW412)^0.5</f>
        <v>0.50235506118917705</v>
      </c>
      <c r="BA412" s="77" t="str">
        <f t="shared" si="67"/>
        <v>HEM 140</v>
      </c>
    </row>
    <row r="413" spans="1:53">
      <c r="A413" s="98" t="s">
        <v>59</v>
      </c>
      <c r="B413" s="62">
        <f t="shared" si="68"/>
        <v>207.4361746996812</v>
      </c>
      <c r="C413" s="99">
        <v>160</v>
      </c>
      <c r="D413" s="99">
        <v>146</v>
      </c>
      <c r="E413" s="126">
        <v>13</v>
      </c>
      <c r="F413" s="99">
        <v>22</v>
      </c>
      <c r="G413" s="99">
        <v>12</v>
      </c>
      <c r="H413" s="100">
        <v>63.23654366438209</v>
      </c>
      <c r="I413" s="101">
        <v>64.444885263064549</v>
      </c>
      <c r="J413" s="101">
        <v>8055.6106578830695</v>
      </c>
      <c r="K413" s="101">
        <v>0.85739822368615504</v>
      </c>
      <c r="L413" s="102">
        <v>32913642.13576436</v>
      </c>
      <c r="M413" s="101">
        <v>411420.52669705456</v>
      </c>
      <c r="N413" s="101">
        <v>493826.09026262118</v>
      </c>
      <c r="O413" s="103">
        <v>63.920290123455885</v>
      </c>
      <c r="P413" s="101">
        <v>11443446.73134427</v>
      </c>
      <c r="Q413" s="101">
        <v>156759.54426498999</v>
      </c>
      <c r="R413" s="101">
        <v>240511.7971708368</v>
      </c>
      <c r="S413" s="101">
        <v>37.690265110746189</v>
      </c>
      <c r="T413" s="102">
        <v>1186239.9456684301</v>
      </c>
      <c r="U413" s="104">
        <v>52824468842.573303</v>
      </c>
      <c r="V413" s="70">
        <v>1</v>
      </c>
      <c r="W413" s="70">
        <v>1</v>
      </c>
      <c r="X413" s="70">
        <v>1</v>
      </c>
      <c r="Y413" s="70">
        <v>1</v>
      </c>
      <c r="Z413" s="70">
        <v>1</v>
      </c>
      <c r="AA413" s="71">
        <v>1</v>
      </c>
      <c r="AB413" s="70">
        <v>1</v>
      </c>
      <c r="AC413" s="70">
        <v>1</v>
      </c>
      <c r="AD413" s="70">
        <v>1</v>
      </c>
      <c r="AE413" s="70">
        <v>1</v>
      </c>
      <c r="AF413" s="69">
        <v>1</v>
      </c>
      <c r="AG413" s="70">
        <v>1</v>
      </c>
      <c r="AH413" s="70">
        <v>1</v>
      </c>
      <c r="AI413" s="70">
        <v>1</v>
      </c>
      <c r="AJ413" s="70">
        <v>1</v>
      </c>
      <c r="AK413" s="78">
        <f t="shared" si="69"/>
        <v>106.43491351547895</v>
      </c>
      <c r="AL413" s="106">
        <f t="shared" si="70"/>
        <v>88.310899557936551</v>
      </c>
      <c r="AM413" s="107">
        <f t="shared" si="58"/>
        <v>75.971894123396879</v>
      </c>
      <c r="AN413" s="108">
        <f t="shared" si="71"/>
        <v>57.847880165854477</v>
      </c>
      <c r="AO413" s="70" t="str">
        <f>IF(head!$F$82="S460","a","c")</f>
        <v>c</v>
      </c>
      <c r="AP413" s="70">
        <f t="shared" si="72"/>
        <v>0.49</v>
      </c>
      <c r="AQ413" s="72">
        <f>IF(head!F$82="S235",235,IF(head!F$82="S275",275,IF(head!F$82="S355",355,IF(head!F$82="S420",420,460))))^0.5*head!$G$70*1000/(S413*3.1416*210000^0.5)</f>
        <v>3.4723576328516654</v>
      </c>
      <c r="AR413" s="72">
        <f t="shared" si="73"/>
        <v>7.330361385260268</v>
      </c>
      <c r="AS413" s="72">
        <f t="shared" si="74"/>
        <v>7.2536680022308009E-2</v>
      </c>
      <c r="AT413" s="52">
        <f>IF(head!F$82="S235",235,IF(head!F$82="S275",275,IF(head!F$82="S355",355,IF(head!F$82="S420",420,460))))*AS413*J413/1000</f>
        <v>207.4361746996812</v>
      </c>
      <c r="AU413" s="192">
        <f t="shared" si="48"/>
        <v>339.78048750881555</v>
      </c>
      <c r="AV413" s="52">
        <f>3.1416*1.13*head!$G$66/(1.4*head!$G$67)*((1+3.1416^2*AU413^2/(1.4*head!$G$67*1000)^2*(0.45^2+1))^0.5+3.1416*0.45*database!AU413/(1.4*head!$G$67*1000))</f>
        <v>15.917010949799272</v>
      </c>
      <c r="AW413" s="52">
        <f>AV413/(head!$G$66*1000)*(210000*database!P413*81000*database!T413)^0.5</f>
        <v>764853697.01760852</v>
      </c>
      <c r="AX413" s="105">
        <f>IF(head!$F$82="S235",database!AF413,(IF(head!$F$82="S275",database!AG413,IF(head!$F$82="S355",database!AH413,IF(head!$F$82="S420",database!AI413,database!AJ413)))))</f>
        <v>1</v>
      </c>
      <c r="AY413" s="52">
        <f t="shared" si="75"/>
        <v>493826.09026262118</v>
      </c>
      <c r="AZ413" s="191">
        <f>(AY413*VLOOKUP(head!$F$82,head!$L$1:$M$5,2)/AW413)^0.5</f>
        <v>0.47875354967219502</v>
      </c>
      <c r="BA413" s="77" t="str">
        <f t="shared" si="67"/>
        <v>HEM 160</v>
      </c>
    </row>
    <row r="414" spans="1:53">
      <c r="A414" s="98" t="s">
        <v>60</v>
      </c>
      <c r="B414" s="62">
        <f t="shared" si="68"/>
        <v>313.18975581162607</v>
      </c>
      <c r="C414" s="99">
        <v>180</v>
      </c>
      <c r="D414" s="99">
        <v>166</v>
      </c>
      <c r="E414" s="126">
        <v>14</v>
      </c>
      <c r="F414" s="99">
        <v>23</v>
      </c>
      <c r="G414" s="99">
        <v>15</v>
      </c>
      <c r="H414" s="100">
        <v>76.185361975597019</v>
      </c>
      <c r="I414" s="101">
        <v>77.641133223538375</v>
      </c>
      <c r="J414" s="101">
        <v>9705.1416529422968</v>
      </c>
      <c r="K414" s="101">
        <v>0.97024777960769382</v>
      </c>
      <c r="L414" s="102">
        <v>50982676.914200641</v>
      </c>
      <c r="M414" s="101">
        <v>566474.18793556269</v>
      </c>
      <c r="N414" s="101">
        <v>674565.36595299945</v>
      </c>
      <c r="O414" s="103">
        <v>72.478697176487529</v>
      </c>
      <c r="P414" s="101">
        <v>17587662.44466874</v>
      </c>
      <c r="Q414" s="101">
        <v>211899.54752612941</v>
      </c>
      <c r="R414" s="101">
        <v>325459.11636473052</v>
      </c>
      <c r="S414" s="101">
        <v>42.569948185606776</v>
      </c>
      <c r="T414" s="102">
        <v>1607956.8326556</v>
      </c>
      <c r="U414" s="104">
        <v>104697916185.724</v>
      </c>
      <c r="V414" s="70">
        <v>1</v>
      </c>
      <c r="W414" s="70">
        <v>1</v>
      </c>
      <c r="X414" s="70">
        <v>1</v>
      </c>
      <c r="Y414" s="70">
        <v>1</v>
      </c>
      <c r="Z414" s="70">
        <v>1</v>
      </c>
      <c r="AA414" s="71">
        <v>1</v>
      </c>
      <c r="AB414" s="70">
        <v>1</v>
      </c>
      <c r="AC414" s="70">
        <v>1</v>
      </c>
      <c r="AD414" s="70">
        <v>1</v>
      </c>
      <c r="AE414" s="70">
        <v>1</v>
      </c>
      <c r="AF414" s="69">
        <v>1</v>
      </c>
      <c r="AG414" s="70">
        <v>1</v>
      </c>
      <c r="AH414" s="70">
        <v>1</v>
      </c>
      <c r="AI414" s="70">
        <v>1</v>
      </c>
      <c r="AJ414" s="70">
        <v>1</v>
      </c>
      <c r="AK414" s="78">
        <f t="shared" si="69"/>
        <v>99.972552107319814</v>
      </c>
      <c r="AL414" s="106">
        <f t="shared" si="70"/>
        <v>82.868216494693925</v>
      </c>
      <c r="AM414" s="107">
        <f t="shared" si="58"/>
        <v>71.302411108054997</v>
      </c>
      <c r="AN414" s="108">
        <f t="shared" si="71"/>
        <v>54.198075495429087</v>
      </c>
      <c r="AO414" s="70" t="str">
        <f>IF(head!$F$82="S460","a","c")</f>
        <v>c</v>
      </c>
      <c r="AP414" s="70">
        <f t="shared" si="72"/>
        <v>0.49</v>
      </c>
      <c r="AQ414" s="72">
        <f>IF(head!F$82="S235",235,IF(head!F$82="S275",275,IF(head!F$82="S355",355,IF(head!F$82="S420",420,460))))^0.5*head!$G$70*1000/(S414*3.1416*210000^0.5)</f>
        <v>3.0743302568959172</v>
      </c>
      <c r="AR414" s="72">
        <f t="shared" si="73"/>
        <v>5.9299641771723577</v>
      </c>
      <c r="AS414" s="72">
        <f t="shared" si="74"/>
        <v>9.0902811706064957E-2</v>
      </c>
      <c r="AT414" s="52">
        <f>IF(head!F$82="S235",235,IF(head!F$82="S275",275,IF(head!F$82="S355",355,IF(head!F$82="S420",420,460))))*AS414*J414/1000</f>
        <v>313.18975581162607</v>
      </c>
      <c r="AU414" s="192">
        <f t="shared" si="48"/>
        <v>410.8648270640515</v>
      </c>
      <c r="AV414" s="52">
        <f>3.1416*1.13*head!$G$66/(1.4*head!$G$67)*((1+3.1416^2*AU414^2/(1.4*head!$G$67*1000)^2*(0.45^2+1))^0.5+3.1416*0.45*database!AU414/(1.4*head!$G$67*1000))</f>
        <v>16.836636215512915</v>
      </c>
      <c r="AW414" s="52">
        <f>AV414/(head!$G$66*1000)*(210000*database!P414*81000*database!T414)^0.5</f>
        <v>1167746942.1436245</v>
      </c>
      <c r="AX414" s="105">
        <f>IF(head!$F$82="S235",database!AF414,(IF(head!$F$82="S275",database!AG414,IF(head!$F$82="S355",database!AH414,IF(head!$F$82="S420",database!AI414,database!AJ414)))))</f>
        <v>1</v>
      </c>
      <c r="AY414" s="52">
        <f t="shared" si="75"/>
        <v>674565.36595299945</v>
      </c>
      <c r="AZ414" s="191">
        <f>(AY414*VLOOKUP(head!$F$82,head!$L$1:$M$5,2)/AW414)^0.5</f>
        <v>0.45284734612826677</v>
      </c>
      <c r="BA414" s="77" t="str">
        <f t="shared" si="67"/>
        <v>HEM 180</v>
      </c>
    </row>
    <row r="415" spans="1:53">
      <c r="A415" s="98" t="s">
        <v>244</v>
      </c>
      <c r="B415" s="62">
        <f t="shared" si="68"/>
        <v>450.6739392912512</v>
      </c>
      <c r="C415" s="99">
        <v>200</v>
      </c>
      <c r="D415" s="99">
        <v>186</v>
      </c>
      <c r="E415" s="126">
        <v>14.5</v>
      </c>
      <c r="F415" s="99">
        <v>24</v>
      </c>
      <c r="G415" s="99">
        <v>15</v>
      </c>
      <c r="H415" s="100">
        <v>88.902361975597017</v>
      </c>
      <c r="I415" s="101">
        <v>90.601133223538369</v>
      </c>
      <c r="J415" s="101">
        <v>11325.141652942297</v>
      </c>
      <c r="K415" s="101">
        <v>1.0892477796076938</v>
      </c>
      <c r="L415" s="102">
        <v>74831329.975242943</v>
      </c>
      <c r="M415" s="101">
        <v>748313.29975242948</v>
      </c>
      <c r="N415" s="101">
        <v>883447.64082948014</v>
      </c>
      <c r="O415" s="103">
        <v>81.286778192084654</v>
      </c>
      <c r="P415" s="101">
        <v>25801271.324204411</v>
      </c>
      <c r="Q415" s="101">
        <v>277433.0249914453</v>
      </c>
      <c r="R415" s="101">
        <v>425188.90177796612</v>
      </c>
      <c r="S415" s="101">
        <v>47.730801978489779</v>
      </c>
      <c r="T415" s="102">
        <v>2013518.5812467397</v>
      </c>
      <c r="U415" s="104">
        <v>194294045840.84698</v>
      </c>
      <c r="V415" s="70">
        <v>1</v>
      </c>
      <c r="W415" s="70">
        <v>1</v>
      </c>
      <c r="X415" s="70">
        <v>1</v>
      </c>
      <c r="Y415" s="70">
        <v>1</v>
      </c>
      <c r="Z415" s="70">
        <v>1</v>
      </c>
      <c r="AA415" s="71">
        <v>1</v>
      </c>
      <c r="AB415" s="70">
        <v>1</v>
      </c>
      <c r="AC415" s="70">
        <v>1</v>
      </c>
      <c r="AD415" s="70">
        <v>1</v>
      </c>
      <c r="AE415" s="70">
        <v>1</v>
      </c>
      <c r="AF415" s="69">
        <v>1</v>
      </c>
      <c r="AG415" s="70">
        <v>1</v>
      </c>
      <c r="AH415" s="70">
        <v>1</v>
      </c>
      <c r="AI415" s="70">
        <v>1</v>
      </c>
      <c r="AJ415" s="70">
        <v>1</v>
      </c>
      <c r="AK415" s="78">
        <f t="shared" si="69"/>
        <v>96.179616378105507</v>
      </c>
      <c r="AL415" s="106">
        <f t="shared" si="70"/>
        <v>79.755980745108644</v>
      </c>
      <c r="AM415" s="107">
        <f t="shared" si="58"/>
        <v>68.166917788567588</v>
      </c>
      <c r="AN415" s="108">
        <f t="shared" si="71"/>
        <v>51.743282155570732</v>
      </c>
      <c r="AO415" s="70" t="str">
        <f>IF(head!$F$82="S460","a","c")</f>
        <v>c</v>
      </c>
      <c r="AP415" s="70">
        <f t="shared" si="72"/>
        <v>0.49</v>
      </c>
      <c r="AQ415" s="72">
        <f>IF(head!F$82="S235",235,IF(head!F$82="S275",275,IF(head!F$82="S355",355,IF(head!F$82="S420",420,460))))^0.5*head!$G$70*1000/(S415*3.1416*210000^0.5)</f>
        <v>2.7419208208670298</v>
      </c>
      <c r="AR415" s="72">
        <f t="shared" si="73"/>
        <v>4.881835495064486</v>
      </c>
      <c r="AS415" s="72">
        <f t="shared" si="74"/>
        <v>0.11209608614579517</v>
      </c>
      <c r="AT415" s="52">
        <f>IF(head!F$82="S235",235,IF(head!F$82="S275",275,IF(head!F$82="S355",355,IF(head!F$82="S420",420,460))))*AS415*J415/1000</f>
        <v>450.6739392912512</v>
      </c>
      <c r="AU415" s="192">
        <f t="shared" si="48"/>
        <v>500.17163953928076</v>
      </c>
      <c r="AV415" s="52">
        <f>3.1416*1.13*head!$G$66/(1.4*head!$G$67)*((1+3.1416^2*AU415^2/(1.4*head!$G$67*1000)^2*(0.45^2+1))^0.5+3.1416*0.45*database!AU415/(1.4*head!$G$67*1000))</f>
        <v>18.088841142821511</v>
      </c>
      <c r="AW415" s="52">
        <f>AV415/(head!$G$66*1000)*(210000*database!P415*81000*database!T415)^0.5</f>
        <v>1700439854.6847498</v>
      </c>
      <c r="AX415" s="105">
        <f>IF(head!$F$82="S235",database!AF415,(IF(head!$F$82="S275",database!AG415,IF(head!$F$82="S355",database!AH415,IF(head!$F$82="S420",database!AI415,database!AJ415)))))</f>
        <v>1</v>
      </c>
      <c r="AY415" s="52">
        <f t="shared" si="75"/>
        <v>883447.64082948014</v>
      </c>
      <c r="AZ415" s="191">
        <f>(AY415*VLOOKUP(head!$F$82,head!$L$1:$M$5,2)/AW415)^0.5</f>
        <v>0.42946121309845897</v>
      </c>
      <c r="BA415" s="77" t="str">
        <f t="shared" si="67"/>
        <v>HEM 200</v>
      </c>
    </row>
    <row r="416" spans="1:53">
      <c r="A416" s="98" t="s">
        <v>245</v>
      </c>
      <c r="B416" s="62">
        <f t="shared" si="68"/>
        <v>625.58472266057731</v>
      </c>
      <c r="C416" s="99">
        <v>220</v>
      </c>
      <c r="D416" s="99">
        <v>206</v>
      </c>
      <c r="E416" s="126">
        <v>15</v>
      </c>
      <c r="F416" s="99">
        <v>25</v>
      </c>
      <c r="G416" s="99">
        <v>18</v>
      </c>
      <c r="H416" s="100">
        <v>103.05577324485972</v>
      </c>
      <c r="I416" s="101">
        <v>105.02499184189526</v>
      </c>
      <c r="J416" s="101">
        <v>13128.123980236907</v>
      </c>
      <c r="K416" s="101">
        <v>1.2030973355292327</v>
      </c>
      <c r="L416" s="102">
        <v>106419093.92301598</v>
      </c>
      <c r="M416" s="101">
        <v>967446.30839105451</v>
      </c>
      <c r="N416" s="101">
        <v>1135147.3066758728</v>
      </c>
      <c r="O416" s="103">
        <v>90.034393571866545</v>
      </c>
      <c r="P416" s="101">
        <v>36512127.993881561</v>
      </c>
      <c r="Q416" s="101">
        <v>354486.67955224816</v>
      </c>
      <c r="R416" s="101">
        <v>543216.66149604111</v>
      </c>
      <c r="S416" s="101">
        <v>52.737220639287379</v>
      </c>
      <c r="T416" s="102">
        <v>2580536.3197723594</v>
      </c>
      <c r="U416" s="104">
        <v>336855059965.50403</v>
      </c>
      <c r="V416" s="70">
        <v>1</v>
      </c>
      <c r="W416" s="70">
        <v>1</v>
      </c>
      <c r="X416" s="70">
        <v>1</v>
      </c>
      <c r="Y416" s="70">
        <v>1</v>
      </c>
      <c r="Z416" s="70">
        <v>1</v>
      </c>
      <c r="AA416" s="71">
        <v>1</v>
      </c>
      <c r="AB416" s="70">
        <v>1</v>
      </c>
      <c r="AC416" s="70">
        <v>1</v>
      </c>
      <c r="AD416" s="70">
        <v>1</v>
      </c>
      <c r="AE416" s="70">
        <v>1</v>
      </c>
      <c r="AF416" s="69">
        <v>1</v>
      </c>
      <c r="AG416" s="70">
        <v>1</v>
      </c>
      <c r="AH416" s="70">
        <v>1</v>
      </c>
      <c r="AI416" s="70">
        <v>1</v>
      </c>
      <c r="AJ416" s="70">
        <v>1</v>
      </c>
      <c r="AK416" s="78">
        <f t="shared" si="69"/>
        <v>91.642746316257885</v>
      </c>
      <c r="AL416" s="106">
        <f t="shared" si="70"/>
        <v>75.951243074049586</v>
      </c>
      <c r="AM416" s="107">
        <f t="shared" si="58"/>
        <v>64.898838652240158</v>
      </c>
      <c r="AN416" s="108">
        <f t="shared" si="71"/>
        <v>49.20733541003186</v>
      </c>
      <c r="AO416" s="70" t="str">
        <f>IF(head!$F$82="S460","a","c")</f>
        <v>c</v>
      </c>
      <c r="AP416" s="70">
        <f t="shared" si="72"/>
        <v>0.49</v>
      </c>
      <c r="AQ416" s="72">
        <f>IF(head!F$82="S235",235,IF(head!F$82="S275",275,IF(head!F$82="S355",355,IF(head!F$82="S420",420,460))))^0.5*head!$G$70*1000/(S416*3.1416*210000^0.5)</f>
        <v>2.4816264140398361</v>
      </c>
      <c r="AR416" s="72">
        <f t="shared" si="73"/>
        <v>4.1382333008698682</v>
      </c>
      <c r="AS416" s="72">
        <f t="shared" si="74"/>
        <v>0.13423170660336975</v>
      </c>
      <c r="AT416" s="52">
        <f>IF(head!F$82="S235",235,IF(head!F$82="S275",275,IF(head!F$82="S355",355,IF(head!F$82="S420",420,460))))*AS416*J416/1000</f>
        <v>625.58472266057731</v>
      </c>
      <c r="AU416" s="192">
        <f t="shared" si="48"/>
        <v>581.746377502212</v>
      </c>
      <c r="AV416" s="52">
        <f>3.1416*1.13*head!$G$66/(1.4*head!$G$67)*((1+3.1416^2*AU416^2/(1.4*head!$G$67*1000)^2*(0.45^2+1))^0.5+3.1416*0.45*database!AU416/(1.4*head!$G$67*1000))</f>
        <v>19.315675265648444</v>
      </c>
      <c r="AW416" s="52">
        <f>AV416/(head!$G$66*1000)*(210000*database!P416*81000*database!T416)^0.5</f>
        <v>2445319509.4938784</v>
      </c>
      <c r="AX416" s="105">
        <f>IF(head!$F$82="S235",database!AF416,(IF(head!$F$82="S275",database!AG416,IF(head!$F$82="S355",database!AH416,IF(head!$F$82="S420",database!AI416,database!AJ416)))))</f>
        <v>1</v>
      </c>
      <c r="AY416" s="52">
        <f t="shared" si="75"/>
        <v>1135147.3066758728</v>
      </c>
      <c r="AZ416" s="191">
        <f>(AY416*VLOOKUP(head!$F$82,head!$L$1:$M$5,2)/AW416)^0.5</f>
        <v>0.40594994009221241</v>
      </c>
      <c r="BA416" s="77" t="str">
        <f t="shared" si="67"/>
        <v>HEM 220</v>
      </c>
    </row>
    <row r="417" spans="1:53">
      <c r="A417" s="98" t="s">
        <v>110</v>
      </c>
      <c r="B417" s="62">
        <f t="shared" si="68"/>
        <v>841.22173821330114</v>
      </c>
      <c r="C417" s="99">
        <v>240</v>
      </c>
      <c r="D417" s="99">
        <v>226</v>
      </c>
      <c r="E417" s="126">
        <v>15.5</v>
      </c>
      <c r="F417" s="99">
        <v>26</v>
      </c>
      <c r="G417" s="99">
        <v>18</v>
      </c>
      <c r="H417" s="100">
        <v>117.31137324485972</v>
      </c>
      <c r="I417" s="101">
        <v>119.55299184189525</v>
      </c>
      <c r="J417" s="101">
        <v>14944.123980236907</v>
      </c>
      <c r="K417" s="101">
        <v>1.3220973355292327</v>
      </c>
      <c r="L417" s="102">
        <v>146048318.8189142</v>
      </c>
      <c r="M417" s="101">
        <v>1217069.3234909517</v>
      </c>
      <c r="N417" s="101">
        <v>1419447.4224980047</v>
      </c>
      <c r="O417" s="103">
        <v>98.858280010179158</v>
      </c>
      <c r="P417" s="101">
        <v>50120471.665711686</v>
      </c>
      <c r="Q417" s="101">
        <v>443543.99704169633</v>
      </c>
      <c r="R417" s="101">
        <v>678553.44249110029</v>
      </c>
      <c r="S417" s="101">
        <v>57.912504066457807</v>
      </c>
      <c r="T417" s="102">
        <v>3136415.0974559998</v>
      </c>
      <c r="U417" s="104">
        <v>559533456310.08301</v>
      </c>
      <c r="V417" s="70">
        <v>1</v>
      </c>
      <c r="W417" s="70">
        <v>1</v>
      </c>
      <c r="X417" s="70">
        <v>1</v>
      </c>
      <c r="Y417" s="70">
        <v>1</v>
      </c>
      <c r="Z417" s="70">
        <v>1</v>
      </c>
      <c r="AA417" s="71">
        <v>1</v>
      </c>
      <c r="AB417" s="70">
        <v>1</v>
      </c>
      <c r="AC417" s="70">
        <v>1</v>
      </c>
      <c r="AD417" s="70">
        <v>1</v>
      </c>
      <c r="AE417" s="70">
        <v>1</v>
      </c>
      <c r="AF417" s="69">
        <v>1</v>
      </c>
      <c r="AG417" s="70">
        <v>1</v>
      </c>
      <c r="AH417" s="70">
        <v>1</v>
      </c>
      <c r="AI417" s="70">
        <v>1</v>
      </c>
      <c r="AJ417" s="70">
        <v>1</v>
      </c>
      <c r="AK417" s="78">
        <f t="shared" si="69"/>
        <v>88.469376811759673</v>
      </c>
      <c r="AL417" s="106">
        <f t="shared" si="70"/>
        <v>73.34637593871571</v>
      </c>
      <c r="AM417" s="107">
        <f t="shared" si="58"/>
        <v>62.365649618039711</v>
      </c>
      <c r="AN417" s="108">
        <f t="shared" si="71"/>
        <v>47.242648744995748</v>
      </c>
      <c r="AO417" s="70" t="str">
        <f>IF(head!$F$82="S460","a","c")</f>
        <v>c</v>
      </c>
      <c r="AP417" s="70">
        <f t="shared" si="72"/>
        <v>0.49</v>
      </c>
      <c r="AQ417" s="72">
        <f>IF(head!F$82="S235",235,IF(head!F$82="S275",275,IF(head!F$82="S355",355,IF(head!F$82="S420",420,460))))^0.5*head!$G$70*1000/(S417*3.1416*210000^0.5)</f>
        <v>2.2598587619578168</v>
      </c>
      <c r="AR417" s="72">
        <f t="shared" si="73"/>
        <v>3.5581462086784228</v>
      </c>
      <c r="AS417" s="72">
        <f t="shared" si="74"/>
        <v>0.15856658458710352</v>
      </c>
      <c r="AT417" s="52">
        <f>IF(head!F$82="S235",235,IF(head!F$82="S275",275,IF(head!F$82="S355",355,IF(head!F$82="S420",420,460))))*AS417*J417/1000</f>
        <v>841.22173821330114</v>
      </c>
      <c r="AU417" s="192">
        <f t="shared" si="48"/>
        <v>680.08531898945159</v>
      </c>
      <c r="AV417" s="52">
        <f>3.1416*1.13*head!$G$66/(1.4*head!$G$67)*((1+3.1416^2*AU417^2/(1.4*head!$G$67*1000)^2*(0.45^2+1))^0.5+3.1416*0.45*database!AU417/(1.4*head!$G$67*1000))</f>
        <v>20.885167457802076</v>
      </c>
      <c r="AW417" s="52">
        <f>AV417/(head!$G$66*1000)*(210000*database!P417*81000*database!T417)^0.5</f>
        <v>3415186783.5917649</v>
      </c>
      <c r="AX417" s="105">
        <f>IF(head!$F$82="S235",database!AF417,(IF(head!$F$82="S275",database!AG417,IF(head!$F$82="S355",database!AH417,IF(head!$F$82="S420",database!AI417,database!AJ417)))))</f>
        <v>1</v>
      </c>
      <c r="AY417" s="52">
        <f t="shared" si="75"/>
        <v>1419447.4224980047</v>
      </c>
      <c r="AZ417" s="191">
        <f>(AY417*VLOOKUP(head!$F$82,head!$L$1:$M$5,2)/AW417)^0.5</f>
        <v>0.384119717889918</v>
      </c>
      <c r="BA417" s="77" t="str">
        <f t="shared" si="67"/>
        <v>HEM 240</v>
      </c>
    </row>
    <row r="418" spans="1:53">
      <c r="A418" s="98" t="s">
        <v>111</v>
      </c>
      <c r="B418" s="62">
        <f t="shared" si="68"/>
        <v>1334.6688854993231</v>
      </c>
      <c r="C418" s="99">
        <v>270</v>
      </c>
      <c r="D418" s="99">
        <v>248</v>
      </c>
      <c r="E418" s="126">
        <v>18</v>
      </c>
      <c r="F418" s="99">
        <v>32</v>
      </c>
      <c r="G418" s="99">
        <v>21</v>
      </c>
      <c r="H418" s="100">
        <v>156.67467747217017</v>
      </c>
      <c r="I418" s="101">
        <v>159.66846111813521</v>
      </c>
      <c r="J418" s="101">
        <v>19958.557639766903</v>
      </c>
      <c r="K418" s="101">
        <v>1.4599468914507714</v>
      </c>
      <c r="L418" s="102">
        <v>242895047.21624359</v>
      </c>
      <c r="M418" s="101">
        <v>1799222.5719721748</v>
      </c>
      <c r="N418" s="101">
        <v>2116945.7264608857</v>
      </c>
      <c r="O418" s="103">
        <v>110.31758687896621</v>
      </c>
      <c r="P418" s="101">
        <v>81526231.52224116</v>
      </c>
      <c r="Q418" s="101">
        <v>657469.60905033199</v>
      </c>
      <c r="R418" s="101">
        <v>1005932.729193007</v>
      </c>
      <c r="S418" s="101">
        <v>63.912250104666562</v>
      </c>
      <c r="T418" s="102">
        <v>6272159.8309460804</v>
      </c>
      <c r="U418" s="104">
        <v>1123491207180.25</v>
      </c>
      <c r="V418" s="70">
        <v>1</v>
      </c>
      <c r="W418" s="70">
        <v>1</v>
      </c>
      <c r="X418" s="70">
        <v>1</v>
      </c>
      <c r="Y418" s="70">
        <v>1</v>
      </c>
      <c r="Z418" s="70">
        <v>1</v>
      </c>
      <c r="AA418" s="71">
        <v>1</v>
      </c>
      <c r="AB418" s="70">
        <v>1</v>
      </c>
      <c r="AC418" s="70">
        <v>1</v>
      </c>
      <c r="AD418" s="70">
        <v>1</v>
      </c>
      <c r="AE418" s="70">
        <v>1</v>
      </c>
      <c r="AF418" s="69">
        <v>1</v>
      </c>
      <c r="AG418" s="70">
        <v>1</v>
      </c>
      <c r="AH418" s="70">
        <v>1</v>
      </c>
      <c r="AI418" s="70">
        <v>1</v>
      </c>
      <c r="AJ418" s="70">
        <v>1</v>
      </c>
      <c r="AK418" s="78">
        <f t="shared" si="69"/>
        <v>73.14891776256745</v>
      </c>
      <c r="AL418" s="106">
        <f t="shared" si="70"/>
        <v>60.723170147125209</v>
      </c>
      <c r="AM418" s="107">
        <f t="shared" si="58"/>
        <v>51.907558587089333</v>
      </c>
      <c r="AN418" s="108">
        <f t="shared" si="71"/>
        <v>39.4818109716471</v>
      </c>
      <c r="AO418" s="70" t="str">
        <f>IF(head!$F$82="S460","a","c")</f>
        <v>c</v>
      </c>
      <c r="AP418" s="70">
        <f t="shared" si="72"/>
        <v>0.49</v>
      </c>
      <c r="AQ418" s="72">
        <f>IF(head!F$82="S235",235,IF(head!F$82="S275",275,IF(head!F$82="S355",355,IF(head!F$82="S420",420,460))))^0.5*head!$G$70*1000/(S418*3.1416*210000^0.5)</f>
        <v>2.0477151019902298</v>
      </c>
      <c r="AR418" s="72">
        <f t="shared" si="73"/>
        <v>3.049258769447035</v>
      </c>
      <c r="AS418" s="72">
        <f t="shared" si="74"/>
        <v>0.18837186189684416</v>
      </c>
      <c r="AT418" s="52">
        <f>IF(head!F$82="S235",235,IF(head!F$82="S275",275,IF(head!F$82="S355",355,IF(head!F$82="S420",420,460))))*AS418*J418/1000</f>
        <v>1334.6688854993231</v>
      </c>
      <c r="AU418" s="192">
        <f t="shared" si="48"/>
        <v>681.46478511299506</v>
      </c>
      <c r="AV418" s="52">
        <f>3.1416*1.13*head!$G$66/(1.4*head!$G$67)*((1+3.1416^2*AU418^2/(1.4*head!$G$67*1000)^2*(0.45^2+1))^0.5+3.1416*0.45*database!AU418/(1.4*head!$G$67*1000))</f>
        <v>20.907815534913791</v>
      </c>
      <c r="AW418" s="52">
        <f>AV418/(head!$G$66*1000)*(210000*database!P418*81000*database!T418)^0.5</f>
        <v>6166206417.4872122</v>
      </c>
      <c r="AX418" s="105">
        <f>IF(head!$F$82="S235",database!AF418,(IF(head!$F$82="S275",database!AG418,IF(head!$F$82="S355",database!AH418,IF(head!$F$82="S420",database!AI418,database!AJ418)))))</f>
        <v>1</v>
      </c>
      <c r="AY418" s="52">
        <f t="shared" si="75"/>
        <v>2116945.7264608857</v>
      </c>
      <c r="AZ418" s="191">
        <f>(AY418*VLOOKUP(head!$F$82,head!$L$1:$M$5,2)/AW418)^0.5</f>
        <v>0.34910816718986404</v>
      </c>
      <c r="BA418" s="77" t="str">
        <f t="shared" si="67"/>
        <v>HEM 260</v>
      </c>
    </row>
    <row r="419" spans="1:53">
      <c r="A419" s="98" t="s">
        <v>67</v>
      </c>
      <c r="B419" s="62">
        <f t="shared" si="68"/>
        <v>1673.3906027099304</v>
      </c>
      <c r="C419" s="99">
        <v>290</v>
      </c>
      <c r="D419" s="99">
        <v>268</v>
      </c>
      <c r="E419" s="126">
        <v>18</v>
      </c>
      <c r="F419" s="99">
        <v>32.5</v>
      </c>
      <c r="G419" s="99">
        <v>24</v>
      </c>
      <c r="H419" s="100">
        <v>172.42087465752837</v>
      </c>
      <c r="I419" s="101">
        <v>175.71554105225823</v>
      </c>
      <c r="J419" s="101">
        <v>21964.442631532278</v>
      </c>
      <c r="K419" s="101">
        <v>1.5747964473723099</v>
      </c>
      <c r="L419" s="102">
        <v>313068601.20642596</v>
      </c>
      <c r="M419" s="101">
        <v>2159093.8014236274</v>
      </c>
      <c r="N419" s="101">
        <v>2523611.6728906068</v>
      </c>
      <c r="O419" s="103">
        <v>119.38772123500102</v>
      </c>
      <c r="P419" s="101">
        <v>104485840.43134595</v>
      </c>
      <c r="Q419" s="101">
        <v>779745.07784586528</v>
      </c>
      <c r="R419" s="101">
        <v>1192465.6068405653</v>
      </c>
      <c r="S419" s="101">
        <v>68.971334108220802</v>
      </c>
      <c r="T419" s="102">
        <v>7223473.1209513601</v>
      </c>
      <c r="U419" s="104">
        <v>1683893859588.26</v>
      </c>
      <c r="V419" s="70">
        <v>1</v>
      </c>
      <c r="W419" s="70">
        <v>1</v>
      </c>
      <c r="X419" s="70">
        <v>1</v>
      </c>
      <c r="Y419" s="70">
        <v>1</v>
      </c>
      <c r="Z419" s="70">
        <v>1</v>
      </c>
      <c r="AA419" s="71">
        <v>1</v>
      </c>
      <c r="AB419" s="70">
        <v>1</v>
      </c>
      <c r="AC419" s="70">
        <v>1</v>
      </c>
      <c r="AD419" s="70">
        <v>1</v>
      </c>
      <c r="AE419" s="70">
        <v>1</v>
      </c>
      <c r="AF419" s="69">
        <v>1</v>
      </c>
      <c r="AG419" s="70">
        <v>1</v>
      </c>
      <c r="AH419" s="70">
        <v>1</v>
      </c>
      <c r="AI419" s="70">
        <v>1</v>
      </c>
      <c r="AJ419" s="70">
        <v>1</v>
      </c>
      <c r="AK419" s="78">
        <f t="shared" si="69"/>
        <v>71.697537414927311</v>
      </c>
      <c r="AL419" s="106">
        <f t="shared" si="70"/>
        <v>59.495998568899061</v>
      </c>
      <c r="AM419" s="107">
        <f t="shared" si="58"/>
        <v>50.809393105102707</v>
      </c>
      <c r="AN419" s="108">
        <f t="shared" si="71"/>
        <v>38.60785425907445</v>
      </c>
      <c r="AO419" s="70" t="str">
        <f>IF(head!$F$82="S460","a","c")</f>
        <v>c</v>
      </c>
      <c r="AP419" s="70">
        <f t="shared" si="72"/>
        <v>0.49</v>
      </c>
      <c r="AQ419" s="72">
        <f>IF(head!F$82="S235",235,IF(head!F$82="S275",275,IF(head!F$82="S355",355,IF(head!F$82="S420",420,460))))^0.5*head!$G$70*1000/(S419*3.1416*210000^0.5)</f>
        <v>1.8975141112415175</v>
      </c>
      <c r="AR419" s="72">
        <f t="shared" si="73"/>
        <v>2.7161708584345146</v>
      </c>
      <c r="AS419" s="72">
        <f t="shared" si="74"/>
        <v>0.2146094223622434</v>
      </c>
      <c r="AT419" s="52">
        <f>IF(head!F$82="S235",235,IF(head!F$82="S275",275,IF(head!F$82="S355",355,IF(head!F$82="S420",420,460))))*AS419*J419/1000</f>
        <v>1673.3906027099304</v>
      </c>
      <c r="AU419" s="192">
        <f t="shared" si="48"/>
        <v>777.41240092500607</v>
      </c>
      <c r="AV419" s="52">
        <f>3.1416*1.13*head!$G$66/(1.4*head!$G$67)*((1+3.1416^2*AU419^2/(1.4*head!$G$67*1000)^2*(0.45^2+1))^0.5+3.1416*0.45*database!AU419/(1.4*head!$G$67*1000))</f>
        <v>22.521183748130696</v>
      </c>
      <c r="AW419" s="52">
        <f>AV419/(head!$G$66*1000)*(210000*database!P419*81000*database!T419)^0.5</f>
        <v>8069472046.1801519</v>
      </c>
      <c r="AX419" s="105">
        <f>IF(head!$F$82="S235",database!AF419,(IF(head!$F$82="S275",database!AG419,IF(head!$F$82="S355",database!AH419,IF(head!$F$82="S420",database!AI419,database!AJ419)))))</f>
        <v>1</v>
      </c>
      <c r="AY419" s="52">
        <f t="shared" si="75"/>
        <v>2523611.6728906068</v>
      </c>
      <c r="AZ419" s="191">
        <f>(AY419*VLOOKUP(head!$F$82,head!$L$1:$M$5,2)/AW419)^0.5</f>
        <v>0.33319837873815789</v>
      </c>
      <c r="BA419" s="77" t="str">
        <f t="shared" si="67"/>
        <v>HEM 280</v>
      </c>
    </row>
    <row r="420" spans="1:53">
      <c r="A420" s="98" t="s">
        <v>68</v>
      </c>
      <c r="B420" s="62">
        <f t="shared" si="68"/>
        <v>2060.2956321838205</v>
      </c>
      <c r="C420" s="99">
        <v>310</v>
      </c>
      <c r="D420" s="99">
        <v>288</v>
      </c>
      <c r="E420" s="126">
        <v>18.5</v>
      </c>
      <c r="F420" s="99">
        <v>33</v>
      </c>
      <c r="G420" s="99">
        <v>24</v>
      </c>
      <c r="H420" s="100">
        <v>188.52907465752838</v>
      </c>
      <c r="I420" s="101">
        <v>192.13154105225823</v>
      </c>
      <c r="J420" s="101">
        <v>24016.442631532278</v>
      </c>
      <c r="K420" s="101">
        <v>1.6937964473723099</v>
      </c>
      <c r="L420" s="102">
        <v>395473397.43884325</v>
      </c>
      <c r="M420" s="101">
        <v>2551441.2737989887</v>
      </c>
      <c r="N420" s="101">
        <v>2965633.3778901631</v>
      </c>
      <c r="O420" s="103">
        <v>128.32293902127444</v>
      </c>
      <c r="P420" s="101">
        <v>131627604.01243071</v>
      </c>
      <c r="Q420" s="101">
        <v>914080.58341965778</v>
      </c>
      <c r="R420" s="101">
        <v>1396677.4674984484</v>
      </c>
      <c r="S420" s="101">
        <v>74.03194310890531</v>
      </c>
      <c r="T420" s="102">
        <v>8093944.0871728696</v>
      </c>
      <c r="U420" s="104">
        <v>2462913226864.71</v>
      </c>
      <c r="V420" s="70">
        <v>1</v>
      </c>
      <c r="W420" s="70">
        <v>1</v>
      </c>
      <c r="X420" s="70">
        <v>1</v>
      </c>
      <c r="Y420" s="70">
        <v>1</v>
      </c>
      <c r="Z420" s="70">
        <v>1</v>
      </c>
      <c r="AA420" s="71">
        <v>1</v>
      </c>
      <c r="AB420" s="70">
        <v>1</v>
      </c>
      <c r="AC420" s="70">
        <v>1</v>
      </c>
      <c r="AD420" s="70">
        <v>1</v>
      </c>
      <c r="AE420" s="70">
        <v>1</v>
      </c>
      <c r="AF420" s="69">
        <v>1</v>
      </c>
      <c r="AG420" s="70">
        <v>1</v>
      </c>
      <c r="AH420" s="70">
        <v>1</v>
      </c>
      <c r="AI420" s="70">
        <v>1</v>
      </c>
      <c r="AJ420" s="70">
        <v>1</v>
      </c>
      <c r="AK420" s="78">
        <f t="shared" si="69"/>
        <v>70.526533565318601</v>
      </c>
      <c r="AL420" s="106">
        <f t="shared" si="70"/>
        <v>58.534749252438246</v>
      </c>
      <c r="AM420" s="107">
        <f t="shared" si="58"/>
        <v>49.799215410433739</v>
      </c>
      <c r="AN420" s="108">
        <f t="shared" si="71"/>
        <v>37.807431097553369</v>
      </c>
      <c r="AO420" s="70" t="str">
        <f>IF(head!$F$82="S460","a","c")</f>
        <v>c</v>
      </c>
      <c r="AP420" s="70">
        <f t="shared" si="72"/>
        <v>0.49</v>
      </c>
      <c r="AQ420" s="72">
        <f>IF(head!F$82="S235",235,IF(head!F$82="S275",275,IF(head!F$82="S355",355,IF(head!F$82="S420",420,460))))^0.5*head!$G$70*1000/(S420*3.1416*210000^0.5)</f>
        <v>1.7678055477887289</v>
      </c>
      <c r="AR420" s="72">
        <f t="shared" si="73"/>
        <v>2.4466805866045425</v>
      </c>
      <c r="AS420" s="72">
        <f t="shared" si="74"/>
        <v>0.2416531772488055</v>
      </c>
      <c r="AT420" s="52">
        <f>IF(head!F$82="S235",235,IF(head!F$82="S275",275,IF(head!F$82="S355",355,IF(head!F$82="S420",420,460))))*AS420*J420/1000</f>
        <v>2060.2956321838205</v>
      </c>
      <c r="AU420" s="192">
        <f t="shared" si="48"/>
        <v>888.20168653726603</v>
      </c>
      <c r="AV420" s="52">
        <f>3.1416*1.13*head!$G$66/(1.4*head!$G$67)*((1+3.1416^2*AU420^2/(1.4*head!$G$67*1000)^2*(0.45^2+1))^0.5+3.1416*0.45*database!AU420/(1.4*head!$G$67*1000))</f>
        <v>24.466553236159417</v>
      </c>
      <c r="AW420" s="52">
        <f>AV420/(head!$G$66*1000)*(210000*database!P420*81000*database!T420)^0.5</f>
        <v>10415461946.581392</v>
      </c>
      <c r="AX420" s="105">
        <f>IF(head!$F$82="S235",database!AF420,(IF(head!$F$82="S275",database!AG420,IF(head!$F$82="S355",database!AH420,IF(head!$F$82="S420",database!AI420,database!AJ420)))))</f>
        <v>1</v>
      </c>
      <c r="AY420" s="52">
        <f t="shared" si="75"/>
        <v>2965633.3778901631</v>
      </c>
      <c r="AZ420" s="191">
        <f>(AY420*VLOOKUP(head!$F$82,head!$L$1:$M$5,2)/AW420)^0.5</f>
        <v>0.3179315583450637</v>
      </c>
      <c r="BA420" s="77" t="str">
        <f t="shared" si="67"/>
        <v>HEM 300</v>
      </c>
    </row>
    <row r="421" spans="1:53">
      <c r="A421" s="98" t="s">
        <v>69</v>
      </c>
      <c r="B421" s="62">
        <f t="shared" si="68"/>
        <v>2951.892391522967</v>
      </c>
      <c r="C421" s="99">
        <v>340</v>
      </c>
      <c r="D421" s="99">
        <v>310</v>
      </c>
      <c r="E421" s="126">
        <v>21</v>
      </c>
      <c r="F421" s="99">
        <v>39</v>
      </c>
      <c r="G421" s="99">
        <v>27</v>
      </c>
      <c r="H421" s="100">
        <v>237.91606480093438</v>
      </c>
      <c r="I421" s="101">
        <v>242.46223164426434</v>
      </c>
      <c r="J421" s="101">
        <v>30307.778955533042</v>
      </c>
      <c r="K421" s="101">
        <v>1.8316460032938489</v>
      </c>
      <c r="L421" s="102">
        <v>592010130.39769125</v>
      </c>
      <c r="M421" s="101">
        <v>3482412.5317511251</v>
      </c>
      <c r="N421" s="101">
        <v>4077674.0113754361</v>
      </c>
      <c r="O421" s="103">
        <v>139.76148729576121</v>
      </c>
      <c r="P421" s="101">
        <v>194030745.37086421</v>
      </c>
      <c r="Q421" s="101">
        <v>1251811.2604571884</v>
      </c>
      <c r="R421" s="101">
        <v>1913180.210832489</v>
      </c>
      <c r="S421" s="101">
        <v>80.012570053946277</v>
      </c>
      <c r="T421" s="102">
        <v>14146183.3900564</v>
      </c>
      <c r="U421" s="104">
        <v>4280030274693.7202</v>
      </c>
      <c r="V421" s="70">
        <v>1</v>
      </c>
      <c r="W421" s="70">
        <v>1</v>
      </c>
      <c r="X421" s="70">
        <v>1</v>
      </c>
      <c r="Y421" s="70">
        <v>1</v>
      </c>
      <c r="Z421" s="70">
        <v>1</v>
      </c>
      <c r="AA421" s="71">
        <v>1</v>
      </c>
      <c r="AB421" s="70">
        <v>1</v>
      </c>
      <c r="AC421" s="70">
        <v>1</v>
      </c>
      <c r="AD421" s="70">
        <v>1</v>
      </c>
      <c r="AE421" s="70">
        <v>1</v>
      </c>
      <c r="AF421" s="69">
        <v>1</v>
      </c>
      <c r="AG421" s="70">
        <v>1</v>
      </c>
      <c r="AH421" s="70">
        <v>1</v>
      </c>
      <c r="AI421" s="70">
        <v>1</v>
      </c>
      <c r="AJ421" s="70">
        <v>1</v>
      </c>
      <c r="AK421" s="78">
        <f t="shared" si="69"/>
        <v>60.434847633711549</v>
      </c>
      <c r="AL421" s="106">
        <f t="shared" si="70"/>
        <v>50.206450480135047</v>
      </c>
      <c r="AM421" s="107">
        <f t="shared" si="58"/>
        <v>42.893278385965978</v>
      </c>
      <c r="AN421" s="108">
        <f t="shared" si="71"/>
        <v>32.664881232389476</v>
      </c>
      <c r="AO421" s="70" t="str">
        <f>IF(head!$F$82="S460","a","c")</f>
        <v>c</v>
      </c>
      <c r="AP421" s="70">
        <f t="shared" si="72"/>
        <v>0.49</v>
      </c>
      <c r="AQ421" s="72">
        <f>IF(head!F$82="S235",235,IF(head!F$82="S275",275,IF(head!F$82="S355",355,IF(head!F$82="S420",420,460))))^0.5*head!$G$70*1000/(S421*3.1416*210000^0.5)</f>
        <v>1.6356689911755629</v>
      </c>
      <c r="AR421" s="72">
        <f t="shared" si="73"/>
        <v>2.1894454271846548</v>
      </c>
      <c r="AS421" s="72">
        <f t="shared" si="74"/>
        <v>0.27435827110511274</v>
      </c>
      <c r="AT421" s="52">
        <f>IF(head!F$82="S235",235,IF(head!F$82="S275",275,IF(head!F$82="S355",355,IF(head!F$82="S420",420,460))))*AS421*J421/1000</f>
        <v>2951.892391522967</v>
      </c>
      <c r="AU421" s="192">
        <f t="shared" si="48"/>
        <v>885.66792444646285</v>
      </c>
      <c r="AV421" s="52">
        <f>3.1416*1.13*head!$G$66/(1.4*head!$G$67)*((1+3.1416^2*AU421^2/(1.4*head!$G$67*1000)^2*(0.45^2+1))^0.5+3.1416*0.45*database!AU421/(1.4*head!$G$67*1000))</f>
        <v>24.421193250500657</v>
      </c>
      <c r="AW421" s="52">
        <f>AV421/(head!$G$66*1000)*(210000*database!P421*81000*database!T421)^0.5</f>
        <v>16686834364.170155</v>
      </c>
      <c r="AX421" s="105">
        <f>IF(head!$F$82="S235",database!AF421,(IF(head!$F$82="S275",database!AG421,IF(head!$F$82="S355",database!AH421,IF(head!$F$82="S420",database!AI421,database!AJ421)))))</f>
        <v>1</v>
      </c>
      <c r="AY421" s="52">
        <f t="shared" si="75"/>
        <v>4077674.0113754361</v>
      </c>
      <c r="AZ421" s="191">
        <f>(AY421*VLOOKUP(head!$F$82,head!$L$1:$M$5,2)/AW421)^0.5</f>
        <v>0.29453265387888639</v>
      </c>
      <c r="BA421" s="77" t="str">
        <f t="shared" si="67"/>
        <v>HEM 320</v>
      </c>
    </row>
    <row r="422" spans="1:53">
      <c r="A422" s="98" t="s">
        <v>70</v>
      </c>
      <c r="B422" s="62">
        <f t="shared" si="68"/>
        <v>3006.3609321422773</v>
      </c>
      <c r="C422" s="99">
        <v>359</v>
      </c>
      <c r="D422" s="99">
        <v>309</v>
      </c>
      <c r="E422" s="126">
        <v>21</v>
      </c>
      <c r="F422" s="99">
        <v>40</v>
      </c>
      <c r="G422" s="99">
        <v>27</v>
      </c>
      <c r="H422" s="100">
        <v>244.95751480093438</v>
      </c>
      <c r="I422" s="101">
        <v>249.63823164426435</v>
      </c>
      <c r="J422" s="101">
        <v>31204.778955533042</v>
      </c>
      <c r="K422" s="101">
        <v>1.8656460032938489</v>
      </c>
      <c r="L422" s="102">
        <v>681348508.37061095</v>
      </c>
      <c r="M422" s="101">
        <v>3795813.4171064678</v>
      </c>
      <c r="N422" s="101">
        <v>4435027.3824974671</v>
      </c>
      <c r="O422" s="103">
        <v>147.76585787141727</v>
      </c>
      <c r="P422" s="101">
        <v>197093225.12086421</v>
      </c>
      <c r="Q422" s="101">
        <v>1275684.3049894124</v>
      </c>
      <c r="R422" s="101">
        <v>1950724.460832489</v>
      </c>
      <c r="S422" s="101">
        <v>79.47404040149479</v>
      </c>
      <c r="T422" s="102">
        <v>15101089.1600751</v>
      </c>
      <c r="U422" s="104">
        <v>4889875058756.6602</v>
      </c>
      <c r="V422" s="70">
        <v>1</v>
      </c>
      <c r="W422" s="70">
        <v>1</v>
      </c>
      <c r="X422" s="70">
        <v>1</v>
      </c>
      <c r="Y422" s="70">
        <v>1</v>
      </c>
      <c r="Z422" s="70">
        <v>1</v>
      </c>
      <c r="AA422" s="71">
        <v>1</v>
      </c>
      <c r="AB422" s="70">
        <v>1</v>
      </c>
      <c r="AC422" s="70">
        <v>1</v>
      </c>
      <c r="AD422" s="70">
        <v>1</v>
      </c>
      <c r="AE422" s="70">
        <v>1</v>
      </c>
      <c r="AF422" s="69">
        <v>1</v>
      </c>
      <c r="AG422" s="70">
        <v>1</v>
      </c>
      <c r="AH422" s="70">
        <v>1</v>
      </c>
      <c r="AI422" s="70">
        <v>1</v>
      </c>
      <c r="AJ422" s="70">
        <v>1</v>
      </c>
      <c r="AK422" s="78">
        <f t="shared" si="69"/>
        <v>59.787188556996455</v>
      </c>
      <c r="AL422" s="106">
        <f t="shared" si="70"/>
        <v>49.884859159299829</v>
      </c>
      <c r="AM422" s="107">
        <f t="shared" si="58"/>
        <v>42.813954936319412</v>
      </c>
      <c r="AN422" s="108">
        <f t="shared" si="71"/>
        <v>32.911625538622786</v>
      </c>
      <c r="AO422" s="70" t="str">
        <f>IF(head!$F$82="S460","a","c")</f>
        <v>c</v>
      </c>
      <c r="AP422" s="70">
        <f t="shared" si="72"/>
        <v>0.49</v>
      </c>
      <c r="AQ422" s="72">
        <f>IF(head!F$82="S235",235,IF(head!F$82="S275",275,IF(head!F$82="S355",355,IF(head!F$82="S420",420,460))))^0.5*head!$G$70*1000/(S422*3.1416*210000^0.5)</f>
        <v>1.6467525632312108</v>
      </c>
      <c r="AR422" s="72">
        <f t="shared" si="73"/>
        <v>2.2103513802459283</v>
      </c>
      <c r="AS422" s="72">
        <f t="shared" si="74"/>
        <v>0.27138863428997784</v>
      </c>
      <c r="AT422" s="52">
        <f>IF(head!F$82="S235",235,IF(head!F$82="S275",275,IF(head!F$82="S355",355,IF(head!F$82="S420",420,460))))*AS422*J422/1000</f>
        <v>3006.3609321422773</v>
      </c>
      <c r="AU422" s="192">
        <f t="shared" si="48"/>
        <v>916.24556049798207</v>
      </c>
      <c r="AV422" s="52">
        <f>3.1416*1.13*head!$G$66/(1.4*head!$G$67)*((1+3.1416^2*AU422^2/(1.4*head!$G$67*1000)^2*(0.45^2+1))^0.5+3.1416*0.45*database!AU422/(1.4*head!$G$67*1000))</f>
        <v>24.971093792257445</v>
      </c>
      <c r="AW422" s="52">
        <f>AV422/(head!$G$66*1000)*(210000*database!P422*81000*database!T422)^0.5</f>
        <v>17767638382.425671</v>
      </c>
      <c r="AX422" s="105">
        <f>IF(head!$F$82="S235",database!AF422,(IF(head!$F$82="S275",database!AG422,IF(head!$F$82="S355",database!AH422,IF(head!$F$82="S420",database!AI422,database!AJ422)))))</f>
        <v>1</v>
      </c>
      <c r="AY422" s="52">
        <f t="shared" si="75"/>
        <v>4435027.3824974671</v>
      </c>
      <c r="AZ422" s="191">
        <f>(AY422*VLOOKUP(head!$F$82,head!$L$1:$M$5,2)/AW422)^0.5</f>
        <v>0.29767850507006571</v>
      </c>
      <c r="BA422" s="77" t="str">
        <f t="shared" si="67"/>
        <v>HEM 340</v>
      </c>
    </row>
    <row r="423" spans="1:53">
      <c r="A423" s="98" t="s">
        <v>71</v>
      </c>
      <c r="B423" s="62">
        <f t="shared" si="68"/>
        <v>3256.925682053346</v>
      </c>
      <c r="C423" s="99">
        <v>377</v>
      </c>
      <c r="D423" s="99">
        <v>309</v>
      </c>
      <c r="E423" s="126">
        <v>21</v>
      </c>
      <c r="F423" s="99">
        <v>40</v>
      </c>
      <c r="G423" s="99">
        <v>27</v>
      </c>
      <c r="H423" s="100">
        <v>247.92481480093437</v>
      </c>
      <c r="I423" s="101">
        <v>252.66223164426435</v>
      </c>
      <c r="J423" s="101">
        <v>31582.778955533042</v>
      </c>
      <c r="K423" s="101">
        <v>1.9016460032938489</v>
      </c>
      <c r="L423" s="102">
        <v>763716794.35096347</v>
      </c>
      <c r="M423" s="101">
        <v>4051547.9806417162</v>
      </c>
      <c r="N423" s="101">
        <v>4717571.3930972647</v>
      </c>
      <c r="O423" s="103">
        <v>155.50379781391462</v>
      </c>
      <c r="P423" s="101">
        <v>197107116.62086421</v>
      </c>
      <c r="Q423" s="101">
        <v>1275774.2176107715</v>
      </c>
      <c r="R423" s="101">
        <v>1952708.960832489</v>
      </c>
      <c r="S423" s="101">
        <v>78.999798231272862</v>
      </c>
      <c r="T423" s="102">
        <v>15156670.463566203</v>
      </c>
      <c r="U423" s="104">
        <v>5463130411879.8896</v>
      </c>
      <c r="V423" s="70">
        <v>1</v>
      </c>
      <c r="W423" s="70">
        <v>1</v>
      </c>
      <c r="X423" s="70">
        <v>1</v>
      </c>
      <c r="Y423" s="70">
        <v>1</v>
      </c>
      <c r="Z423" s="70">
        <v>1</v>
      </c>
      <c r="AA423" s="71">
        <v>1</v>
      </c>
      <c r="AB423" s="70">
        <v>1</v>
      </c>
      <c r="AC423" s="70">
        <v>1</v>
      </c>
      <c r="AD423" s="70">
        <v>1</v>
      </c>
      <c r="AE423" s="70">
        <v>1</v>
      </c>
      <c r="AF423" s="69">
        <v>1</v>
      </c>
      <c r="AG423" s="70">
        <v>1</v>
      </c>
      <c r="AH423" s="70">
        <v>1</v>
      </c>
      <c r="AI423" s="70">
        <v>1</v>
      </c>
      <c r="AJ423" s="70">
        <v>1</v>
      </c>
      <c r="AK423" s="78">
        <f t="shared" si="69"/>
        <v>60.211484428627088</v>
      </c>
      <c r="AL423" s="106">
        <f t="shared" si="70"/>
        <v>50.427671533787894</v>
      </c>
      <c r="AM423" s="107">
        <f t="shared" si="58"/>
        <v>43.441395766082103</v>
      </c>
      <c r="AN423" s="108">
        <f t="shared" si="71"/>
        <v>33.657582871242909</v>
      </c>
      <c r="AO423" s="70" t="str">
        <f>IF(head!$F$82="S460","a0","b")</f>
        <v>b</v>
      </c>
      <c r="AP423" s="70">
        <f t="shared" si="72"/>
        <v>0.34</v>
      </c>
      <c r="AQ423" s="72">
        <f>IF(head!F$82="S235",235,IF(head!F$82="S275",275,IF(head!F$82="S355",355,IF(head!F$82="S420",420,460))))^0.5*head!$G$70*1000/(S423*3.1416*210000^0.5)</f>
        <v>1.656638151889539</v>
      </c>
      <c r="AR423" s="72">
        <f t="shared" si="73"/>
        <v>2.1198534689692154</v>
      </c>
      <c r="AS423" s="72">
        <f t="shared" si="74"/>
        <v>0.29048864110129408</v>
      </c>
      <c r="AT423" s="52">
        <f>IF(head!F$82="S235",235,IF(head!F$82="S275",275,IF(head!F$82="S355",355,IF(head!F$82="S420",420,460))))*AS423*J423/1000</f>
        <v>3256.925682053346</v>
      </c>
      <c r="AU423" s="192">
        <f t="shared" si="48"/>
        <v>966.68731038695046</v>
      </c>
      <c r="AV423" s="52">
        <f>3.1416*1.13*head!$G$66/(1.4*head!$G$67)*((1+3.1416^2*AU423^2/(1.4*head!$G$67*1000)^2*(0.45^2+1))^0.5+3.1416*0.45*database!AU423/(1.4*head!$G$67*1000))</f>
        <v>25.88955373043364</v>
      </c>
      <c r="AW423" s="52">
        <f>AV423/(head!$G$66*1000)*(210000*database!P423*81000*database!T423)^0.5</f>
        <v>18455668371.545616</v>
      </c>
      <c r="AX423" s="105">
        <f>IF(head!$F$82="S235",database!AF423,(IF(head!$F$82="S275",database!AG423,IF(head!$F$82="S355",database!AH423,IF(head!$F$82="S420",database!AI423,database!AJ423)))))</f>
        <v>1</v>
      </c>
      <c r="AY423" s="52">
        <f t="shared" si="75"/>
        <v>4717571.3930972647</v>
      </c>
      <c r="AZ423" s="191">
        <f>(AY423*VLOOKUP(head!$F$82,head!$L$1:$M$5,2)/AW423)^0.5</f>
        <v>0.30123714873136637</v>
      </c>
      <c r="BA423" s="77" t="str">
        <f t="shared" si="67"/>
        <v>HEM 360</v>
      </c>
    </row>
    <row r="424" spans="1:53">
      <c r="A424" s="98" t="s">
        <v>72</v>
      </c>
      <c r="B424" s="62">
        <f t="shared" si="68"/>
        <v>3235.2851363340769</v>
      </c>
      <c r="C424" s="99">
        <v>395</v>
      </c>
      <c r="D424" s="99">
        <v>308</v>
      </c>
      <c r="E424" s="126">
        <v>21</v>
      </c>
      <c r="F424" s="99">
        <v>40</v>
      </c>
      <c r="G424" s="99">
        <v>27</v>
      </c>
      <c r="H424" s="100">
        <v>250.26411480093438</v>
      </c>
      <c r="I424" s="101">
        <v>255.04623164426434</v>
      </c>
      <c r="J424" s="101">
        <v>31880.778955533042</v>
      </c>
      <c r="K424" s="101">
        <v>1.9336460032938489</v>
      </c>
      <c r="L424" s="102">
        <v>848670323.85544562</v>
      </c>
      <c r="M424" s="101">
        <v>4297064.9309136486</v>
      </c>
      <c r="N424" s="101">
        <v>4989317.4036970623</v>
      </c>
      <c r="O424" s="103">
        <v>163.1567500684601</v>
      </c>
      <c r="P424" s="101">
        <v>195217561.45419753</v>
      </c>
      <c r="Q424" s="101">
        <v>1267646.5029493347</v>
      </c>
      <c r="R424" s="101">
        <v>1942353.460832489</v>
      </c>
      <c r="S424" s="101">
        <v>78.251915932789359</v>
      </c>
      <c r="T424" s="102">
        <v>15169583.4957531</v>
      </c>
      <c r="U424" s="104">
        <v>6009151264428.9199</v>
      </c>
      <c r="V424" s="70">
        <v>1</v>
      </c>
      <c r="W424" s="70">
        <v>1</v>
      </c>
      <c r="X424" s="70">
        <v>1</v>
      </c>
      <c r="Y424" s="70">
        <v>1</v>
      </c>
      <c r="Z424" s="70">
        <v>1</v>
      </c>
      <c r="AA424" s="71">
        <v>1</v>
      </c>
      <c r="AB424" s="70">
        <v>1</v>
      </c>
      <c r="AC424" s="70">
        <v>1</v>
      </c>
      <c r="AD424" s="70">
        <v>1</v>
      </c>
      <c r="AE424" s="70">
        <v>1</v>
      </c>
      <c r="AF424" s="69">
        <v>1</v>
      </c>
      <c r="AG424" s="70">
        <v>1</v>
      </c>
      <c r="AH424" s="70">
        <v>1</v>
      </c>
      <c r="AI424" s="70">
        <v>1</v>
      </c>
      <c r="AJ424" s="70">
        <v>1</v>
      </c>
      <c r="AK424" s="78">
        <f t="shared" ref="AK424:AK434" si="76">K424/J424*1000000</f>
        <v>60.652407709073763</v>
      </c>
      <c r="AL424" s="106">
        <f t="shared" si="70"/>
        <v>50.991414154631606</v>
      </c>
      <c r="AM424" s="107">
        <f t="shared" si="58"/>
        <v>44.10180823878467</v>
      </c>
      <c r="AN424" s="108">
        <f t="shared" si="71"/>
        <v>34.440814684342506</v>
      </c>
      <c r="AO424" s="70" t="str">
        <f>IF(head!$F$82="S460","a0","b")</f>
        <v>b</v>
      </c>
      <c r="AP424" s="70">
        <f t="shared" si="72"/>
        <v>0.34</v>
      </c>
      <c r="AQ424" s="72">
        <f>IF(head!F$82="S235",235,IF(head!F$82="S275",275,IF(head!F$82="S355",355,IF(head!F$82="S420",420,460))))^0.5*head!$G$70*1000/(S424*3.1416*210000^0.5)</f>
        <v>1.672471251105343</v>
      </c>
      <c r="AR424" s="72">
        <f t="shared" si="73"/>
        <v>2.1489001555748439</v>
      </c>
      <c r="AS424" s="72">
        <f t="shared" si="74"/>
        <v>0.28586124793219359</v>
      </c>
      <c r="AT424" s="52">
        <f>IF(head!F$82="S235",235,IF(head!F$82="S275",275,IF(head!F$82="S355",355,IF(head!F$82="S420",420,460))))*AS424*J424/1000</f>
        <v>3235.2851363340769</v>
      </c>
      <c r="AU424" s="192">
        <f t="shared" si="48"/>
        <v>1013.4139489085779</v>
      </c>
      <c r="AV424" s="52">
        <f>3.1416*1.13*head!$G$66/(1.4*head!$G$67)*((1+3.1416^2*AU424^2/(1.4*head!$G$67*1000)^2*(0.45^2+1))^0.5+3.1416*0.45*database!AU424/(1.4*head!$G$67*1000))</f>
        <v>26.752014694910322</v>
      </c>
      <c r="AW424" s="52">
        <f>AV424/(head!$G$66*1000)*(210000*database!P424*81000*database!T424)^0.5</f>
        <v>18986937518.819817</v>
      </c>
      <c r="AX424" s="105">
        <f>IF(head!$F$82="S235",database!AF424,(IF(head!$F$82="S275",database!AG424,IF(head!$F$82="S355",database!AH424,IF(head!$F$82="S420",database!AI424,database!AJ424)))))</f>
        <v>1</v>
      </c>
      <c r="AY424" s="52">
        <f t="shared" si="75"/>
        <v>4989317.4036970623</v>
      </c>
      <c r="AZ424" s="191">
        <f>(AY424*VLOOKUP(head!$F$82,head!$L$1:$M$5,2)/AW424)^0.5</f>
        <v>0.30542689878980539</v>
      </c>
      <c r="BA424" s="77" t="str">
        <f t="shared" si="67"/>
        <v>HEM 400</v>
      </c>
    </row>
    <row r="425" spans="1:53">
      <c r="A425" s="98" t="s">
        <v>73</v>
      </c>
      <c r="B425" s="62">
        <f t="shared" si="68"/>
        <v>3219.6599725842398</v>
      </c>
      <c r="C425" s="99">
        <v>432</v>
      </c>
      <c r="D425" s="99">
        <v>307</v>
      </c>
      <c r="E425" s="126">
        <v>21</v>
      </c>
      <c r="F425" s="99">
        <v>40</v>
      </c>
      <c r="G425" s="99">
        <v>27</v>
      </c>
      <c r="H425" s="100">
        <v>255.73556480093438</v>
      </c>
      <c r="I425" s="101">
        <v>260.62223164426433</v>
      </c>
      <c r="J425" s="101">
        <v>32577.778955533042</v>
      </c>
      <c r="K425" s="101">
        <v>2.003646003293849</v>
      </c>
      <c r="L425" s="102">
        <v>1041190960.4731015</v>
      </c>
      <c r="M425" s="101">
        <v>4820328.5207088031</v>
      </c>
      <c r="N425" s="101">
        <v>5570619.0643744236</v>
      </c>
      <c r="O425" s="103">
        <v>178.77404154798538</v>
      </c>
      <c r="P425" s="101">
        <v>193354989.53753087</v>
      </c>
      <c r="Q425" s="101">
        <v>1259641.6256516669</v>
      </c>
      <c r="R425" s="101">
        <v>1934132.710832489</v>
      </c>
      <c r="S425" s="101">
        <v>77.040120899832516</v>
      </c>
      <c r="T425" s="102">
        <v>15241168.005823201</v>
      </c>
      <c r="U425" s="104">
        <v>7268654385438.4102</v>
      </c>
      <c r="V425" s="70">
        <v>1</v>
      </c>
      <c r="W425" s="70">
        <v>1</v>
      </c>
      <c r="X425" s="70">
        <v>1</v>
      </c>
      <c r="Y425" s="70">
        <v>1</v>
      </c>
      <c r="Z425" s="70">
        <v>1</v>
      </c>
      <c r="AA425" s="71">
        <v>1</v>
      </c>
      <c r="AB425" s="70">
        <v>1</v>
      </c>
      <c r="AC425" s="70">
        <v>1</v>
      </c>
      <c r="AD425" s="70">
        <v>1</v>
      </c>
      <c r="AE425" s="70">
        <v>1</v>
      </c>
      <c r="AF425" s="69">
        <v>1</v>
      </c>
      <c r="AG425" s="70">
        <v>1</v>
      </c>
      <c r="AH425" s="70">
        <v>1</v>
      </c>
      <c r="AI425" s="70">
        <v>1</v>
      </c>
      <c r="AJ425" s="70">
        <v>1</v>
      </c>
      <c r="AK425" s="78">
        <f t="shared" si="76"/>
        <v>61.503456267805134</v>
      </c>
      <c r="AL425" s="106">
        <f t="shared" si="70"/>
        <v>52.079854971380385</v>
      </c>
      <c r="AM425" s="107">
        <f t="shared" si="58"/>
        <v>45.36834760949764</v>
      </c>
      <c r="AN425" s="108">
        <f t="shared" si="71"/>
        <v>35.944746313072891</v>
      </c>
      <c r="AO425" s="70" t="str">
        <f>IF(head!$F$82="S460","a0","b")</f>
        <v>b</v>
      </c>
      <c r="AP425" s="70">
        <f t="shared" si="72"/>
        <v>0.34</v>
      </c>
      <c r="AQ425" s="72">
        <f>IF(head!F$82="S235",235,IF(head!F$82="S275",275,IF(head!F$82="S355",355,IF(head!F$82="S420",420,460))))^0.5*head!$G$70*1000/(S425*3.1416*210000^0.5)</f>
        <v>1.6987782237733593</v>
      </c>
      <c r="AR425" s="72">
        <f t="shared" si="73"/>
        <v>2.1977160248247563</v>
      </c>
      <c r="AS425" s="72">
        <f t="shared" si="74"/>
        <v>0.2783942000430491</v>
      </c>
      <c r="AT425" s="52">
        <f>IF(head!F$82="S235",235,IF(head!F$82="S275",275,IF(head!F$82="S355",355,IF(head!F$82="S420",420,460))))*AS425*J425/1000</f>
        <v>3219.6599725842398</v>
      </c>
      <c r="AU425" s="192">
        <f t="shared" si="48"/>
        <v>1111.9493936239394</v>
      </c>
      <c r="AV425" s="52">
        <f>3.1416*1.13*head!$G$66/(1.4*head!$G$67)*((1+3.1416^2*AU425^2/(1.4*head!$G$67*1000)^2*(0.45^2+1))^0.5+3.1416*0.45*database!AU425/(1.4*head!$G$67*1000))</f>
        <v>28.603405945561033</v>
      </c>
      <c r="AW425" s="52">
        <f>AV425/(head!$G$66*1000)*(210000*database!P425*81000*database!T425)^0.5</f>
        <v>20251477953.470215</v>
      </c>
      <c r="AX425" s="105">
        <f>IF(head!$F$82="S235",database!AF425,(IF(head!$F$82="S275",database!AG425,IF(head!$F$82="S355",database!AH425,IF(head!$F$82="S420",database!AI425,database!AJ425)))))</f>
        <v>1</v>
      </c>
      <c r="AY425" s="52">
        <f t="shared" si="75"/>
        <v>5570619.0643744236</v>
      </c>
      <c r="AZ425" s="191">
        <f>(AY425*VLOOKUP(head!$F$82,head!$L$1:$M$5,2)/AW425)^0.5</f>
        <v>0.31249102266625406</v>
      </c>
      <c r="BA425" s="77" t="str">
        <f t="shared" si="67"/>
        <v>HEM 450</v>
      </c>
    </row>
    <row r="426" spans="1:53">
      <c r="A426" s="98" t="s">
        <v>74</v>
      </c>
      <c r="B426" s="62">
        <f t="shared" si="68"/>
        <v>3234.0771064158325</v>
      </c>
      <c r="C426" s="99">
        <v>478</v>
      </c>
      <c r="D426" s="99">
        <v>307</v>
      </c>
      <c r="E426" s="126">
        <v>21</v>
      </c>
      <c r="F426" s="99">
        <v>40</v>
      </c>
      <c r="G426" s="99">
        <v>27</v>
      </c>
      <c r="H426" s="100">
        <v>263.31866480093436</v>
      </c>
      <c r="I426" s="101">
        <v>268.35023164426428</v>
      </c>
      <c r="J426" s="101">
        <v>33543.778955533038</v>
      </c>
      <c r="K426" s="101">
        <v>2.0956460032938491</v>
      </c>
      <c r="L426" s="102">
        <v>1314843420.5018015</v>
      </c>
      <c r="M426" s="101">
        <v>5501436.905865279</v>
      </c>
      <c r="N426" s="101">
        <v>6331016.9803516837</v>
      </c>
      <c r="O426" s="103">
        <v>197.98442425897409</v>
      </c>
      <c r="P426" s="101">
        <v>193390490.03753087</v>
      </c>
      <c r="Q426" s="101">
        <v>1259872.8992673021</v>
      </c>
      <c r="R426" s="101">
        <v>1939204.210832489</v>
      </c>
      <c r="S426" s="101">
        <v>75.929678880463968</v>
      </c>
      <c r="T426" s="102">
        <v>15383215.356600899</v>
      </c>
      <c r="U426" s="104">
        <v>9092159181547.6895</v>
      </c>
      <c r="V426" s="70">
        <v>1</v>
      </c>
      <c r="W426" s="70">
        <v>1</v>
      </c>
      <c r="X426" s="70">
        <v>1</v>
      </c>
      <c r="Y426" s="70">
        <v>1</v>
      </c>
      <c r="Z426" s="70">
        <v>1</v>
      </c>
      <c r="AA426" s="71">
        <v>1</v>
      </c>
      <c r="AB426" s="70">
        <v>1</v>
      </c>
      <c r="AC426" s="70">
        <v>1</v>
      </c>
      <c r="AD426" s="70">
        <v>1</v>
      </c>
      <c r="AE426" s="70">
        <v>1</v>
      </c>
      <c r="AF426" s="69">
        <v>1</v>
      </c>
      <c r="AG426" s="70">
        <v>1</v>
      </c>
      <c r="AH426" s="70">
        <v>1</v>
      </c>
      <c r="AI426" s="70">
        <v>1</v>
      </c>
      <c r="AJ426" s="70">
        <v>1</v>
      </c>
      <c r="AK426" s="78">
        <f t="shared" si="76"/>
        <v>62.474952690092557</v>
      </c>
      <c r="AL426" s="106">
        <f t="shared" si="70"/>
        <v>53.322734020664427</v>
      </c>
      <c r="AM426" s="107">
        <f t="shared" si="58"/>
        <v>46.80450589902987</v>
      </c>
      <c r="AN426" s="108">
        <f t="shared" si="71"/>
        <v>37.652287229601733</v>
      </c>
      <c r="AO426" s="70" t="str">
        <f>IF(head!$F$82="S460","a0","b")</f>
        <v>b</v>
      </c>
      <c r="AP426" s="70">
        <f t="shared" si="72"/>
        <v>0.34</v>
      </c>
      <c r="AQ426" s="72">
        <f>IF(head!F$82="S235",235,IF(head!F$82="S275",275,IF(head!F$82="S355",355,IF(head!F$82="S420",420,460))))^0.5*head!$G$70*1000/(S426*3.1416*210000^0.5)</f>
        <v>1.723622194524717</v>
      </c>
      <c r="AR426" s="72">
        <f t="shared" si="73"/>
        <v>2.2444525077983029</v>
      </c>
      <c r="AS426" s="72">
        <f t="shared" si="74"/>
        <v>0.27158765767499288</v>
      </c>
      <c r="AT426" s="52">
        <f>IF(head!F$82="S235",235,IF(head!F$82="S275",275,IF(head!F$82="S355",355,IF(head!F$82="S420",420,460))))*AS426*J426/1000</f>
        <v>3234.0771064158325</v>
      </c>
      <c r="AU426" s="192">
        <f t="shared" ref="AU426:AU434" si="77">(210000*U426/(81000*T426))^0.5</f>
        <v>1237.8758584097091</v>
      </c>
      <c r="AV426" s="52">
        <f>3.1416*1.13*head!$G$66/(1.4*head!$G$67)*((1+3.1416^2*AU426^2/(1.4*head!$G$67*1000)^2*(0.45^2+1))^0.5+3.1416*0.45*database!AU426/(1.4*head!$G$67*1000))</f>
        <v>31.024507447870647</v>
      </c>
      <c r="AW426" s="52">
        <f>AV426/(head!$G$66*1000)*(210000*database!P426*81000*database!T426)^0.5</f>
        <v>22069788386.229778</v>
      </c>
      <c r="AX426" s="105">
        <f>IF(head!$F$82="S235",database!AF426,(IF(head!$F$82="S275",database!AG426,IF(head!$F$82="S355",database!AH426,IF(head!$F$82="S420",database!AI426,database!AJ426)))))</f>
        <v>1</v>
      </c>
      <c r="AY426" s="52">
        <f t="shared" si="75"/>
        <v>6331016.9803516837</v>
      </c>
      <c r="AZ426" s="191">
        <f>(AY426*VLOOKUP(head!$F$82,head!$L$1:$M$5,2)/AW426)^0.5</f>
        <v>0.31911838924503205</v>
      </c>
      <c r="BA426" s="77" t="str">
        <f t="shared" si="67"/>
        <v>HEM 500</v>
      </c>
    </row>
    <row r="427" spans="1:53">
      <c r="A427" s="98" t="s">
        <v>173</v>
      </c>
      <c r="B427" s="62">
        <f t="shared" si="68"/>
        <v>3219.6132321448185</v>
      </c>
      <c r="C427" s="99">
        <v>524</v>
      </c>
      <c r="D427" s="99">
        <v>306</v>
      </c>
      <c r="E427" s="126">
        <v>21</v>
      </c>
      <c r="F427" s="99">
        <v>40</v>
      </c>
      <c r="G427" s="99">
        <v>27</v>
      </c>
      <c r="H427" s="100">
        <v>270.27376480093437</v>
      </c>
      <c r="I427" s="101">
        <v>275.43823164426431</v>
      </c>
      <c r="J427" s="101">
        <v>34429.778955533038</v>
      </c>
      <c r="K427" s="101">
        <v>2.1836460032938487</v>
      </c>
      <c r="L427" s="102">
        <v>1619289411.9987898</v>
      </c>
      <c r="M427" s="101">
        <v>6180493.9389266782</v>
      </c>
      <c r="N427" s="101">
        <v>7094272.8963289429</v>
      </c>
      <c r="O427" s="103">
        <v>216.86782348554689</v>
      </c>
      <c r="P427" s="101">
        <v>191547143.87086421</v>
      </c>
      <c r="Q427" s="101">
        <v>1251942.116803034</v>
      </c>
      <c r="R427" s="101">
        <v>1932015.710832489</v>
      </c>
      <c r="S427" s="101">
        <v>74.588302434705511</v>
      </c>
      <c r="T427" s="102">
        <v>15482595.475854</v>
      </c>
      <c r="U427" s="104">
        <v>11011420192710.801</v>
      </c>
      <c r="V427" s="70">
        <v>1</v>
      </c>
      <c r="W427" s="70">
        <v>1</v>
      </c>
      <c r="X427" s="70">
        <v>1</v>
      </c>
      <c r="Y427" s="70">
        <v>1</v>
      </c>
      <c r="Z427" s="70">
        <v>1</v>
      </c>
      <c r="AA427" s="71">
        <v>1</v>
      </c>
      <c r="AB427" s="70">
        <v>1</v>
      </c>
      <c r="AC427" s="70">
        <v>1</v>
      </c>
      <c r="AD427" s="70">
        <v>1</v>
      </c>
      <c r="AE427" s="70">
        <v>1</v>
      </c>
      <c r="AF427" s="69">
        <v>1</v>
      </c>
      <c r="AG427" s="70">
        <v>1</v>
      </c>
      <c r="AH427" s="70">
        <v>1</v>
      </c>
      <c r="AI427" s="70">
        <v>1</v>
      </c>
      <c r="AJ427" s="70">
        <v>1</v>
      </c>
      <c r="AK427" s="78">
        <f t="shared" si="76"/>
        <v>63.42317811897906</v>
      </c>
      <c r="AL427" s="106">
        <f t="shared" si="70"/>
        <v>54.535523034257004</v>
      </c>
      <c r="AM427" s="107">
        <f t="shared" si="58"/>
        <v>48.214076603394219</v>
      </c>
      <c r="AN427" s="108">
        <f t="shared" si="71"/>
        <v>39.326421518672149</v>
      </c>
      <c r="AO427" s="70" t="str">
        <f>IF(head!$F$82="S460","a0","b")</f>
        <v>b</v>
      </c>
      <c r="AP427" s="70">
        <f t="shared" si="72"/>
        <v>0.34</v>
      </c>
      <c r="AQ427" s="72">
        <f>IF(head!F$82="S235",235,IF(head!F$82="S275",275,IF(head!F$82="S355",355,IF(head!F$82="S420",420,460))))^0.5*head!$G$70*1000/(S427*3.1416*210000^0.5)</f>
        <v>1.7546193634862428</v>
      </c>
      <c r="AR427" s="72">
        <f t="shared" si="73"/>
        <v>2.3036298471530952</v>
      </c>
      <c r="AS427" s="72">
        <f t="shared" si="74"/>
        <v>0.26341537248927871</v>
      </c>
      <c r="AT427" s="52">
        <f>IF(head!F$82="S235",235,IF(head!F$82="S275",275,IF(head!F$82="S355",355,IF(head!F$82="S420",420,460))))*AS427*J427/1000</f>
        <v>3219.6132321448185</v>
      </c>
      <c r="AU427" s="192">
        <f t="shared" si="77"/>
        <v>1357.8972921283084</v>
      </c>
      <c r="AV427" s="52">
        <f>3.1416*1.13*head!$G$66/(1.4*head!$G$67)*((1+3.1416^2*AU427^2/(1.4*head!$G$67*1000)^2*(0.45^2+1))^0.5+3.1416*0.45*database!AU427/(1.4*head!$G$67*1000))</f>
        <v>33.379271498990967</v>
      </c>
      <c r="AW427" s="52">
        <f>AV427/(head!$G$66*1000)*(210000*database!P427*81000*database!T427)^0.5</f>
        <v>23707662418.827972</v>
      </c>
      <c r="AX427" s="105">
        <f>IF(head!$F$82="S235",database!AF427,(IF(head!$F$82="S275",database!AG427,IF(head!$F$82="S355",database!AH427,IF(head!$F$82="S420",database!AI427,database!AJ427)))))</f>
        <v>1</v>
      </c>
      <c r="AY427" s="52">
        <f t="shared" si="75"/>
        <v>7094272.8963289429</v>
      </c>
      <c r="AZ427" s="191">
        <f>(AY427*VLOOKUP(head!$F$82,head!$L$1:$M$5,2)/AW427)^0.5</f>
        <v>0.32592956312590265</v>
      </c>
      <c r="BA427" s="77" t="str">
        <f t="shared" si="67"/>
        <v>HEM 550</v>
      </c>
    </row>
    <row r="428" spans="1:53">
      <c r="A428" s="98" t="s">
        <v>174</v>
      </c>
      <c r="B428" s="62">
        <f>AT428</f>
        <v>3233.0478235065134</v>
      </c>
      <c r="C428" s="99">
        <v>572</v>
      </c>
      <c r="D428" s="99">
        <v>306</v>
      </c>
      <c r="E428" s="126">
        <v>21</v>
      </c>
      <c r="F428" s="99">
        <v>40</v>
      </c>
      <c r="G428" s="99">
        <v>27</v>
      </c>
      <c r="H428" s="100">
        <v>278.18656480093438</v>
      </c>
      <c r="I428" s="101">
        <v>283.50223164426427</v>
      </c>
      <c r="J428" s="101">
        <v>35437.778955533038</v>
      </c>
      <c r="K428" s="101">
        <v>2.2796460032938488</v>
      </c>
      <c r="L428" s="102">
        <v>1979839599.7009661</v>
      </c>
      <c r="M428" s="101">
        <v>6922516.0828705113</v>
      </c>
      <c r="N428" s="101">
        <v>7932683.5912617361</v>
      </c>
      <c r="O428" s="103">
        <v>236.36423123217736</v>
      </c>
      <c r="P428" s="101">
        <v>191584187.87086421</v>
      </c>
      <c r="Q428" s="101">
        <v>1252184.234450093</v>
      </c>
      <c r="R428" s="101">
        <v>1937307.710832489</v>
      </c>
      <c r="S428" s="101">
        <v>73.526955505917627</v>
      </c>
      <c r="T428" s="102">
        <v>15630822.2999411</v>
      </c>
      <c r="U428" s="104">
        <v>13323129529196.301</v>
      </c>
      <c r="V428" s="70">
        <v>1</v>
      </c>
      <c r="W428" s="70">
        <v>1</v>
      </c>
      <c r="X428" s="70">
        <v>1</v>
      </c>
      <c r="Y428" s="70">
        <v>1</v>
      </c>
      <c r="Z428" s="70">
        <v>1</v>
      </c>
      <c r="AA428" s="71">
        <v>1</v>
      </c>
      <c r="AB428" s="70">
        <v>1</v>
      </c>
      <c r="AC428" s="70">
        <v>1</v>
      </c>
      <c r="AD428" s="70">
        <v>1</v>
      </c>
      <c r="AE428" s="70">
        <v>2</v>
      </c>
      <c r="AF428" s="69">
        <v>1</v>
      </c>
      <c r="AG428" s="70">
        <v>1</v>
      </c>
      <c r="AH428" s="70">
        <v>1</v>
      </c>
      <c r="AI428" s="70">
        <v>1</v>
      </c>
      <c r="AJ428" s="70">
        <v>1</v>
      </c>
      <c r="AK428" s="78">
        <f t="shared" si="76"/>
        <v>64.328128637924095</v>
      </c>
      <c r="AL428" s="106">
        <f t="shared" si="70"/>
        <v>55.693275974500537</v>
      </c>
      <c r="AM428" s="107">
        <f t="shared" si="58"/>
        <v>49.551638160038493</v>
      </c>
      <c r="AN428" s="108">
        <f t="shared" si="71"/>
        <v>40.916785496614928</v>
      </c>
      <c r="AO428" s="70" t="str">
        <f>IF(head!$F$82="S460","a0","b")</f>
        <v>b</v>
      </c>
      <c r="AP428" s="70">
        <f t="shared" si="72"/>
        <v>0.34</v>
      </c>
      <c r="AQ428" s="72">
        <f>IF(head!F$82="S235",235,IF(head!F$82="S275",275,IF(head!F$82="S355",355,IF(head!F$82="S420",420,460))))^0.5*head!$G$70*1000/(S428*3.1416*210000^0.5)</f>
        <v>1.7799469438248301</v>
      </c>
      <c r="AR428" s="72">
        <f t="shared" si="73"/>
        <v>2.3526965418658978</v>
      </c>
      <c r="AS428" s="72">
        <f t="shared" si="74"/>
        <v>0.25699062514757415</v>
      </c>
      <c r="AT428" s="52">
        <f>IF(head!F$82="S235",235,IF(head!F$82="S275",275,IF(head!F$82="S355",355,IF(head!F$82="S420",420,460))))*AS428*J428/1000</f>
        <v>3233.0478235065134</v>
      </c>
      <c r="AU428" s="192">
        <f t="shared" si="77"/>
        <v>1486.5494142202474</v>
      </c>
      <c r="AV428" s="52">
        <f>3.1416*1.13*head!$G$66/(1.4*head!$G$67)*((1+3.1416^2*AU428^2/(1.4*head!$G$67*1000)^2*(0.45^2+1))^0.5+3.1416*0.45*database!AU428/(1.4*head!$G$67*1000))</f>
        <v>35.944931802263866</v>
      </c>
      <c r="AW428" s="52">
        <f>AV428/(head!$G$66*1000)*(210000*database!P428*81000*database!T428)^0.5</f>
        <v>25654323380.476864</v>
      </c>
      <c r="AX428" s="105">
        <f>IF(head!$F$82="S235",database!AF428,(IF(head!$F$82="S275",database!AG428,IF(head!$F$82="S355",database!AH428,IF(head!$F$82="S420",database!AI428,database!AJ428)))))</f>
        <v>1</v>
      </c>
      <c r="AY428" s="52">
        <f t="shared" si="75"/>
        <v>7932683.5912617361</v>
      </c>
      <c r="AZ428" s="191">
        <f>(AY428*VLOOKUP(head!$F$82,head!$L$1:$M$5,2)/AW428)^0.5</f>
        <v>0.33131718298573581</v>
      </c>
      <c r="BA428" s="77" t="str">
        <f t="shared" si="67"/>
        <v>HEM 600</v>
      </c>
    </row>
    <row r="429" spans="1:53">
      <c r="A429" s="98" t="s">
        <v>175</v>
      </c>
      <c r="B429" s="62">
        <f t="shared" si="68"/>
        <v>3217.4569464366314</v>
      </c>
      <c r="C429" s="99">
        <v>620</v>
      </c>
      <c r="D429" s="99">
        <v>305</v>
      </c>
      <c r="E429" s="126">
        <v>21</v>
      </c>
      <c r="F429" s="99">
        <v>40</v>
      </c>
      <c r="G429" s="99">
        <v>27</v>
      </c>
      <c r="H429" s="100">
        <v>285.4713648009344</v>
      </c>
      <c r="I429" s="101">
        <v>290.92623164426431</v>
      </c>
      <c r="J429" s="101">
        <v>36365.778955533038</v>
      </c>
      <c r="K429" s="101">
        <v>2.3716460032938489</v>
      </c>
      <c r="L429" s="102">
        <v>2374475442.0932493</v>
      </c>
      <c r="M429" s="101">
        <v>7659598.2003008043</v>
      </c>
      <c r="N429" s="101">
        <v>8772086.2861945275</v>
      </c>
      <c r="O429" s="103">
        <v>255.5273516441882</v>
      </c>
      <c r="P429" s="101">
        <v>189754625.2041975</v>
      </c>
      <c r="Q429" s="101">
        <v>1244292.6242898197</v>
      </c>
      <c r="R429" s="101">
        <v>1930379.710832489</v>
      </c>
      <c r="S429" s="101">
        <v>72.235342770328884</v>
      </c>
      <c r="T429" s="102">
        <v>15736381.995346701</v>
      </c>
      <c r="U429" s="104">
        <v>15700023666012</v>
      </c>
      <c r="V429" s="70">
        <v>1</v>
      </c>
      <c r="W429" s="70">
        <v>1</v>
      </c>
      <c r="X429" s="70">
        <v>1</v>
      </c>
      <c r="Y429" s="70">
        <v>1</v>
      </c>
      <c r="Z429" s="70">
        <v>1</v>
      </c>
      <c r="AA429" s="71">
        <v>1</v>
      </c>
      <c r="AB429" s="70">
        <v>1</v>
      </c>
      <c r="AC429" s="70">
        <v>2</v>
      </c>
      <c r="AD429" s="70">
        <v>2</v>
      </c>
      <c r="AE429" s="70">
        <v>3</v>
      </c>
      <c r="AF429" s="69">
        <v>1</v>
      </c>
      <c r="AG429" s="70">
        <v>1</v>
      </c>
      <c r="AH429" s="70">
        <v>1</v>
      </c>
      <c r="AI429" s="70">
        <v>1</v>
      </c>
      <c r="AJ429" s="70">
        <v>1</v>
      </c>
      <c r="AK429" s="78">
        <f t="shared" si="76"/>
        <v>65.216422455678043</v>
      </c>
      <c r="AL429" s="106">
        <f t="shared" si="70"/>
        <v>56.829416628772904</v>
      </c>
      <c r="AM429" s="107">
        <f t="shared" si="58"/>
        <v>50.872002556637746</v>
      </c>
      <c r="AN429" s="108">
        <f t="shared" si="71"/>
        <v>42.484996729732607</v>
      </c>
      <c r="AO429" s="70" t="str">
        <f>IF(head!$F$82="S460","a0","b")</f>
        <v>b</v>
      </c>
      <c r="AP429" s="70">
        <f t="shared" si="72"/>
        <v>0.34</v>
      </c>
      <c r="AQ429" s="72">
        <f>IF(head!F$82="S235",235,IF(head!F$82="S275",275,IF(head!F$82="S355",355,IF(head!F$82="S420",420,460))))^0.5*head!$G$70*1000/(S429*3.1416*210000^0.5)</f>
        <v>1.8117734992635723</v>
      </c>
      <c r="AR429" s="72">
        <f t="shared" si="73"/>
        <v>2.4152631011916919</v>
      </c>
      <c r="AS429" s="72">
        <f t="shared" si="74"/>
        <v>0.24922493795964404</v>
      </c>
      <c r="AT429" s="52">
        <f>IF(head!F$82="S235",235,IF(head!F$82="S275",275,IF(head!F$82="S355",355,IF(head!F$82="S420",420,460))))*AS429*J429/1000</f>
        <v>3217.4569464366314</v>
      </c>
      <c r="AU429" s="192">
        <f t="shared" si="77"/>
        <v>1608.2917966500295</v>
      </c>
      <c r="AV429" s="52">
        <f>3.1416*1.13*head!$G$66/(1.4*head!$G$67)*((1+3.1416^2*AU429^2/(1.4*head!$G$67*1000)^2*(0.45^2+1))^0.5+3.1416*0.45*database!AU429/(1.4*head!$G$67*1000))</f>
        <v>38.405332864321217</v>
      </c>
      <c r="AW429" s="52">
        <f>AV429/(head!$G$66*1000)*(210000*database!P429*81000*database!T429)^0.5</f>
        <v>27371104345.111038</v>
      </c>
      <c r="AX429" s="105">
        <f>IF(head!$F$82="S235",database!AF429,(IF(head!$F$82="S275",database!AG429,IF(head!$F$82="S355",database!AH429,IF(head!$F$82="S420",database!AI429,database!AJ429)))))</f>
        <v>1</v>
      </c>
      <c r="AY429" s="52">
        <f t="shared" si="75"/>
        <v>8772086.2861945275</v>
      </c>
      <c r="AZ429" s="191">
        <f>(AY429*VLOOKUP(head!$F$82,head!$L$1:$M$5,2)/AW429)^0.5</f>
        <v>0.33730242526232551</v>
      </c>
      <c r="BA429" s="77" t="str">
        <f t="shared" si="67"/>
        <v>HEM 650</v>
      </c>
    </row>
    <row r="430" spans="1:53">
      <c r="A430" s="98" t="s">
        <v>176</v>
      </c>
      <c r="B430" s="62">
        <f t="shared" si="68"/>
        <v>3229.4970110356394</v>
      </c>
      <c r="C430" s="99">
        <v>668</v>
      </c>
      <c r="D430" s="99">
        <v>305</v>
      </c>
      <c r="E430" s="126">
        <v>21</v>
      </c>
      <c r="F430" s="99">
        <v>40</v>
      </c>
      <c r="G430" s="99">
        <v>27</v>
      </c>
      <c r="H430" s="100">
        <v>293.3841648009344</v>
      </c>
      <c r="I430" s="101">
        <v>298.99023164426427</v>
      </c>
      <c r="J430" s="101">
        <v>37373.778955533038</v>
      </c>
      <c r="K430" s="101">
        <v>2.467646003293849</v>
      </c>
      <c r="L430" s="102">
        <v>2816675808.5089736</v>
      </c>
      <c r="M430" s="101">
        <v>8433161.1033202801</v>
      </c>
      <c r="N430" s="101">
        <v>9656960.9811273217</v>
      </c>
      <c r="O430" s="103">
        <v>274.5269123788068</v>
      </c>
      <c r="P430" s="101">
        <v>189791669.20419753</v>
      </c>
      <c r="Q430" s="101">
        <v>1244535.5357652297</v>
      </c>
      <c r="R430" s="101">
        <v>1935671.710832489</v>
      </c>
      <c r="S430" s="101">
        <v>71.261517506831353</v>
      </c>
      <c r="T430" s="102">
        <v>15884611.850405199</v>
      </c>
      <c r="U430" s="104">
        <v>18426266865969.199</v>
      </c>
      <c r="V430" s="70">
        <v>1</v>
      </c>
      <c r="W430" s="70">
        <v>1</v>
      </c>
      <c r="X430" s="70">
        <v>1</v>
      </c>
      <c r="Y430" s="70">
        <v>2</v>
      </c>
      <c r="Z430" s="70">
        <v>2</v>
      </c>
      <c r="AA430" s="71">
        <v>1</v>
      </c>
      <c r="AB430" s="70">
        <v>1</v>
      </c>
      <c r="AC430" s="70">
        <v>2</v>
      </c>
      <c r="AD430" s="70">
        <v>3</v>
      </c>
      <c r="AE430" s="70">
        <v>3</v>
      </c>
      <c r="AF430" s="69">
        <v>1</v>
      </c>
      <c r="AG430" s="70">
        <v>1</v>
      </c>
      <c r="AH430" s="70">
        <v>1</v>
      </c>
      <c r="AI430" s="70">
        <v>1</v>
      </c>
      <c r="AJ430" s="70">
        <v>1</v>
      </c>
      <c r="AK430" s="78">
        <f t="shared" si="76"/>
        <v>66.02613041164048</v>
      </c>
      <c r="AL430" s="106">
        <f t="shared" si="70"/>
        <v>57.865328680488645</v>
      </c>
      <c r="AM430" s="107">
        <f t="shared" si="58"/>
        <v>52.068590717447442</v>
      </c>
      <c r="AN430" s="108">
        <f t="shared" si="71"/>
        <v>43.907788986295607</v>
      </c>
      <c r="AO430" s="70" t="str">
        <f>IF(head!$F$82="S460","a0","b")</f>
        <v>b</v>
      </c>
      <c r="AP430" s="70">
        <f t="shared" si="72"/>
        <v>0.34</v>
      </c>
      <c r="AQ430" s="72">
        <f>IF(head!F$82="S235",235,IF(head!F$82="S275",275,IF(head!F$82="S355",355,IF(head!F$82="S420",420,460))))^0.5*head!$G$70*1000/(S430*3.1416*210000^0.5)</f>
        <v>1.8365323153405533</v>
      </c>
      <c r="AR430" s="72">
        <f t="shared" si="73"/>
        <v>2.4646359662529607</v>
      </c>
      <c r="AS430" s="72">
        <f t="shared" si="74"/>
        <v>0.24341061924183163</v>
      </c>
      <c r="AT430" s="52">
        <f>IF(head!F$82="S235",235,IF(head!F$82="S275",275,IF(head!F$82="S355",355,IF(head!F$82="S420",420,460))))*AS430*J430/1000</f>
        <v>3229.4970110356394</v>
      </c>
      <c r="AU430" s="192">
        <f t="shared" si="77"/>
        <v>1734.1933349430228</v>
      </c>
      <c r="AV430" s="52">
        <f>3.1416*1.13*head!$G$66/(1.4*head!$G$67)*((1+3.1416^2*AU430^2/(1.4*head!$G$67*1000)^2*(0.45^2+1))^0.5+3.1416*0.45*database!AU430/(1.4*head!$G$67*1000))</f>
        <v>40.977283988777515</v>
      </c>
      <c r="AW430" s="52">
        <f>AV430/(head!$G$66*1000)*(210000*database!P430*81000*database!T430)^0.5</f>
        <v>29344195177.407524</v>
      </c>
      <c r="AX430" s="105">
        <f>IF(head!$F$82="S235",database!AF430,(IF(head!$F$82="S275",database!AG430,IF(head!$F$82="S355",database!AH430,IF(head!$F$82="S420",database!AI430,database!AJ430)))))</f>
        <v>1</v>
      </c>
      <c r="AY430" s="52">
        <f t="shared" si="75"/>
        <v>9656960.9811273217</v>
      </c>
      <c r="AZ430" s="191">
        <f>(AY430*VLOOKUP(head!$F$82,head!$L$1:$M$5,2)/AW430)^0.5</f>
        <v>0.34180098783540186</v>
      </c>
      <c r="BA430" s="77" t="str">
        <f t="shared" si="67"/>
        <v>HEM 700</v>
      </c>
    </row>
    <row r="431" spans="1:53">
      <c r="A431" s="98" t="s">
        <v>177</v>
      </c>
      <c r="B431" s="62">
        <f t="shared" si="68"/>
        <v>3212.4433983635104</v>
      </c>
      <c r="C431" s="99">
        <v>716</v>
      </c>
      <c r="D431" s="99">
        <v>304</v>
      </c>
      <c r="E431" s="126">
        <v>21</v>
      </c>
      <c r="F431" s="99">
        <v>40</v>
      </c>
      <c r="G431" s="99">
        <v>27</v>
      </c>
      <c r="H431" s="100">
        <v>300.66896480093436</v>
      </c>
      <c r="I431" s="101">
        <v>306.41423164426431</v>
      </c>
      <c r="J431" s="101">
        <v>38301.778955533038</v>
      </c>
      <c r="K431" s="101">
        <v>2.5596460032938491</v>
      </c>
      <c r="L431" s="102">
        <v>3292780581.6148057</v>
      </c>
      <c r="M431" s="101">
        <v>9197711.1218290664</v>
      </c>
      <c r="N431" s="101">
        <v>10538987.676060114</v>
      </c>
      <c r="O431" s="103">
        <v>293.2053721066124</v>
      </c>
      <c r="P431" s="101">
        <v>187974306.53753087</v>
      </c>
      <c r="Q431" s="101">
        <v>1236673.0693258611</v>
      </c>
      <c r="R431" s="101">
        <v>1928783.710832489</v>
      </c>
      <c r="S431" s="101">
        <v>70.055102505925134</v>
      </c>
      <c r="T431" s="102">
        <v>15990173.8508636</v>
      </c>
      <c r="U431" s="104">
        <v>21161034588647.102</v>
      </c>
      <c r="V431" s="70">
        <v>1</v>
      </c>
      <c r="W431" s="70">
        <v>1</v>
      </c>
      <c r="X431" s="70">
        <v>2</v>
      </c>
      <c r="Y431" s="70">
        <v>2</v>
      </c>
      <c r="Z431" s="70">
        <v>3</v>
      </c>
      <c r="AA431" s="71">
        <v>1</v>
      </c>
      <c r="AB431" s="70">
        <v>2</v>
      </c>
      <c r="AC431" s="70">
        <v>3</v>
      </c>
      <c r="AD431" s="70">
        <v>4</v>
      </c>
      <c r="AE431" s="70">
        <v>4</v>
      </c>
      <c r="AF431" s="69">
        <v>1</v>
      </c>
      <c r="AG431" s="70">
        <v>1</v>
      </c>
      <c r="AH431" s="70">
        <v>1</v>
      </c>
      <c r="AI431" s="70">
        <v>1</v>
      </c>
      <c r="AJ431" s="70">
        <v>1</v>
      </c>
      <c r="AK431" s="78">
        <f t="shared" si="76"/>
        <v>66.828384296862666</v>
      </c>
      <c r="AL431" s="106">
        <f t="shared" si="70"/>
        <v>58.891416137944169</v>
      </c>
      <c r="AM431" s="107">
        <f t="shared" si="58"/>
        <v>53.261233698005654</v>
      </c>
      <c r="AN431" s="108">
        <f t="shared" si="71"/>
        <v>45.324265539087165</v>
      </c>
      <c r="AO431" s="70" t="str">
        <f>IF(head!$F$82="S460","a0","b")</f>
        <v>b</v>
      </c>
      <c r="AP431" s="70">
        <f t="shared" si="72"/>
        <v>0.34</v>
      </c>
      <c r="AQ431" s="72">
        <f>IF(head!F$82="S235",235,IF(head!F$82="S275",275,IF(head!F$82="S355",355,IF(head!F$82="S420",420,460))))^0.5*head!$G$70*1000/(S431*3.1416*210000^0.5)</f>
        <v>1.8681591355952019</v>
      </c>
      <c r="AR431" s="72">
        <f t="shared" si="73"/>
        <v>2.5285963310050903</v>
      </c>
      <c r="AS431" s="72">
        <f t="shared" si="74"/>
        <v>0.23625890442122949</v>
      </c>
      <c r="AT431" s="52">
        <f>IF(head!F$82="S235",235,IF(head!F$82="S275",275,IF(head!F$82="S355",355,IF(head!F$82="S420",420,460))))*AS431*J431/1000</f>
        <v>3212.4433983635104</v>
      </c>
      <c r="AU431" s="192">
        <f t="shared" si="77"/>
        <v>1852.2900493684413</v>
      </c>
      <c r="AV431" s="52">
        <f>3.1416*1.13*head!$G$66/(1.4*head!$G$67)*((1+3.1416^2*AU431^2/(1.4*head!$G$67*1000)^2*(0.45^2+1))^0.5+3.1416*0.45*database!AU431/(1.4*head!$G$67*1000))</f>
        <v>43.41107539326066</v>
      </c>
      <c r="AW431" s="52">
        <f>AV431/(head!$G$66*1000)*(210000*database!P431*81000*database!T431)^0.5</f>
        <v>31040487954.054237</v>
      </c>
      <c r="AX431" s="105">
        <f>IF(head!$F$82="S235",database!AF431,(IF(head!$F$82="S275",database!AG431,IF(head!$F$82="S355",database!AH431,IF(head!$F$82="S420",database!AI431,database!AJ431)))))</f>
        <v>1</v>
      </c>
      <c r="AY431" s="52">
        <f t="shared" si="75"/>
        <v>10538987.676060114</v>
      </c>
      <c r="AZ431" s="191">
        <f>(AY431*VLOOKUP(head!$F$82,head!$L$1:$M$5,2)/AW431)^0.5</f>
        <v>0.34717572811558867</v>
      </c>
      <c r="BA431" s="77" t="str">
        <f t="shared" si="67"/>
        <v>HEM 800</v>
      </c>
    </row>
    <row r="432" spans="1:53">
      <c r="A432" s="98" t="s">
        <v>178</v>
      </c>
      <c r="B432" s="62">
        <f t="shared" si="68"/>
        <v>3207.8053906235941</v>
      </c>
      <c r="C432" s="99">
        <v>814</v>
      </c>
      <c r="D432" s="99">
        <v>303</v>
      </c>
      <c r="E432" s="126">
        <v>21</v>
      </c>
      <c r="F432" s="99">
        <v>40</v>
      </c>
      <c r="G432" s="99">
        <v>30</v>
      </c>
      <c r="H432" s="100">
        <v>317.34854790238808</v>
      </c>
      <c r="I432" s="101">
        <v>323.41253289415346</v>
      </c>
      <c r="J432" s="101">
        <v>40426.566611769187</v>
      </c>
      <c r="K432" s="101">
        <v>2.7464955592153872</v>
      </c>
      <c r="L432" s="102">
        <v>4425980087.0196629</v>
      </c>
      <c r="M432" s="101">
        <v>10874643.94845126</v>
      </c>
      <c r="N432" s="101">
        <v>12487703.948166216</v>
      </c>
      <c r="O432" s="103">
        <v>330.88059533323616</v>
      </c>
      <c r="P432" s="101">
        <v>186273674.37260246</v>
      </c>
      <c r="Q432" s="101">
        <v>1229529.2037795542</v>
      </c>
      <c r="R432" s="101">
        <v>1930392.4477766522</v>
      </c>
      <c r="S432" s="101">
        <v>67.880074664887772</v>
      </c>
      <c r="T432" s="102">
        <v>16632545.879981199</v>
      </c>
      <c r="U432" s="104">
        <v>27472064427531.801</v>
      </c>
      <c r="V432" s="70">
        <v>1</v>
      </c>
      <c r="W432" s="70">
        <v>2</v>
      </c>
      <c r="X432" s="70">
        <v>3</v>
      </c>
      <c r="Y432" s="70">
        <v>4</v>
      </c>
      <c r="Z432" s="70">
        <v>4</v>
      </c>
      <c r="AA432" s="71">
        <v>2</v>
      </c>
      <c r="AB432" s="70">
        <v>3</v>
      </c>
      <c r="AC432" s="70">
        <v>4</v>
      </c>
      <c r="AD432" s="70">
        <v>4</v>
      </c>
      <c r="AE432" s="70">
        <v>4</v>
      </c>
      <c r="AF432" s="69">
        <v>1</v>
      </c>
      <c r="AG432" s="70">
        <v>1</v>
      </c>
      <c r="AH432" s="70">
        <v>1</v>
      </c>
      <c r="AI432" s="70">
        <v>1</v>
      </c>
      <c r="AJ432" s="70">
        <v>1</v>
      </c>
      <c r="AK432" s="78">
        <f t="shared" si="76"/>
        <v>67.937888111819348</v>
      </c>
      <c r="AL432" s="106">
        <f t="shared" si="70"/>
        <v>60.4428167912737</v>
      </c>
      <c r="AM432" s="107">
        <f t="shared" si="58"/>
        <v>55.260690858412566</v>
      </c>
      <c r="AN432" s="108">
        <f t="shared" si="71"/>
        <v>47.765619537866897</v>
      </c>
      <c r="AO432" s="70" t="str">
        <f>IF(head!$F$82="S460","a0","b")</f>
        <v>b</v>
      </c>
      <c r="AP432" s="70">
        <f t="shared" si="72"/>
        <v>0.34</v>
      </c>
      <c r="AQ432" s="72">
        <f>IF(head!F$82="S235",235,IF(head!F$82="S275",275,IF(head!F$82="S355",355,IF(head!F$82="S420",420,460))))^0.5*head!$G$70*1000/(S432*3.1416*210000^0.5)</f>
        <v>1.9280190893661378</v>
      </c>
      <c r="AR432" s="72">
        <f t="shared" si="73"/>
        <v>2.652392049672359</v>
      </c>
      <c r="AS432" s="72">
        <f t="shared" si="74"/>
        <v>0.22351815353650975</v>
      </c>
      <c r="AT432" s="52">
        <f>IF(head!F$82="S235",235,IF(head!F$82="S275",275,IF(head!F$82="S355",355,IF(head!F$82="S420",420,460))))*AS432*J432/1000</f>
        <v>3207.8053906235941</v>
      </c>
      <c r="AU432" s="192">
        <f t="shared" si="77"/>
        <v>2069.3474730278399</v>
      </c>
      <c r="AV432" s="52">
        <f>3.1416*1.13*head!$G$66/(1.4*head!$G$67)*((1+3.1416^2*AU432^2/(1.4*head!$G$67*1000)^2*(0.45^2+1))^0.5+3.1416*0.45*database!AU432/(1.4*head!$G$67*1000))</f>
        <v>47.927847665399774</v>
      </c>
      <c r="AW432" s="52">
        <f>AV432/(head!$G$66*1000)*(210000*database!P432*81000*database!T432)^0.5</f>
        <v>34793265313.774757</v>
      </c>
      <c r="AX432" s="105">
        <f>IF(head!$F$82="S235",database!AF432,(IF(head!$F$82="S275",database!AG432,IF(head!$F$82="S355",database!AH432,IF(head!$F$82="S420",database!AI432,database!AJ432)))))</f>
        <v>1</v>
      </c>
      <c r="AY432" s="52">
        <f t="shared" si="75"/>
        <v>12487703.948166216</v>
      </c>
      <c r="AZ432" s="191">
        <f>(AY432*VLOOKUP(head!$F$82,head!$L$1:$M$5,2)/AW432)^0.5</f>
        <v>0.35695040513878029</v>
      </c>
      <c r="BA432" s="77" t="str">
        <f t="shared" si="67"/>
        <v>HEM 900</v>
      </c>
    </row>
    <row r="433" spans="1:53">
      <c r="A433" s="98" t="s">
        <v>179</v>
      </c>
      <c r="B433" s="62">
        <f t="shared" si="68"/>
        <v>3198.1521998868511</v>
      </c>
      <c r="C433" s="99">
        <v>910</v>
      </c>
      <c r="D433" s="99">
        <v>302</v>
      </c>
      <c r="E433" s="126">
        <v>21</v>
      </c>
      <c r="F433" s="99">
        <v>40</v>
      </c>
      <c r="G433" s="99">
        <v>30</v>
      </c>
      <c r="H433" s="100">
        <v>332.5461479023881</v>
      </c>
      <c r="I433" s="101">
        <v>338.90053289415346</v>
      </c>
      <c r="J433" s="101">
        <v>42362.566611769187</v>
      </c>
      <c r="K433" s="101">
        <v>2.9344955592153874</v>
      </c>
      <c r="L433" s="102">
        <v>5704342096.8504677</v>
      </c>
      <c r="M433" s="101">
        <v>12537015.597473558</v>
      </c>
      <c r="N433" s="101">
        <v>14441763.145531137</v>
      </c>
      <c r="O433" s="103">
        <v>366.95401938029499</v>
      </c>
      <c r="P433" s="101">
        <v>184517635.70593578</v>
      </c>
      <c r="Q433" s="101">
        <v>1221971.0973903032</v>
      </c>
      <c r="R433" s="101">
        <v>1928876.4477766522</v>
      </c>
      <c r="S433" s="101">
        <v>65.997549167478496</v>
      </c>
      <c r="T433" s="102">
        <v>16886343.0651346</v>
      </c>
      <c r="U433" s="104">
        <v>34418545424146.496</v>
      </c>
      <c r="V433" s="70">
        <v>2</v>
      </c>
      <c r="W433" s="70">
        <v>3</v>
      </c>
      <c r="X433" s="70">
        <v>4</v>
      </c>
      <c r="Y433" s="70">
        <v>4</v>
      </c>
      <c r="Z433" s="70">
        <v>4</v>
      </c>
      <c r="AA433" s="71">
        <v>4</v>
      </c>
      <c r="AB433" s="70">
        <v>4</v>
      </c>
      <c r="AC433" s="70">
        <v>4</v>
      </c>
      <c r="AD433" s="70">
        <v>4</v>
      </c>
      <c r="AE433" s="70">
        <v>4</v>
      </c>
      <c r="AF433" s="69">
        <v>1</v>
      </c>
      <c r="AG433" s="70">
        <v>1</v>
      </c>
      <c r="AH433" s="70">
        <v>1</v>
      </c>
      <c r="AI433" s="70">
        <v>1</v>
      </c>
      <c r="AJ433" s="70">
        <v>1</v>
      </c>
      <c r="AK433" s="78">
        <f t="shared" si="76"/>
        <v>69.270957685555445</v>
      </c>
      <c r="AL433" s="106">
        <f t="shared" si="70"/>
        <v>62.142022303342365</v>
      </c>
      <c r="AM433" s="107">
        <f t="shared" si="58"/>
        <v>57.220329028094426</v>
      </c>
      <c r="AN433" s="108">
        <f t="shared" si="71"/>
        <v>50.09139364588134</v>
      </c>
      <c r="AO433" s="70" t="str">
        <f>IF(head!$F$82="S460","a0","b")</f>
        <v>b</v>
      </c>
      <c r="AP433" s="70">
        <f t="shared" si="72"/>
        <v>0.34</v>
      </c>
      <c r="AQ433" s="72">
        <f>IF(head!F$82="S235",235,IF(head!F$82="S275",275,IF(head!F$82="S355",355,IF(head!F$82="S420",420,460))))^0.5*head!$G$70*1000/(S433*3.1416*210000^0.5)</f>
        <v>1.9830142390498489</v>
      </c>
      <c r="AR433" s="72">
        <f t="shared" si="73"/>
        <v>2.7692851567757</v>
      </c>
      <c r="AS433" s="72">
        <f t="shared" si="74"/>
        <v>0.21266132240906618</v>
      </c>
      <c r="AT433" s="52">
        <f>IF(head!F$82="S235",235,IF(head!F$82="S275",275,IF(head!F$82="S355",355,IF(head!F$82="S420",420,460))))*AS433*J433/1000</f>
        <v>3198.1521998868511</v>
      </c>
      <c r="AU433" s="192">
        <f t="shared" si="77"/>
        <v>2298.770366862494</v>
      </c>
      <c r="AV433" s="52">
        <f>3.1416*1.13*head!$G$66/(1.4*head!$G$67)*((1+3.1416^2*AU433^2/(1.4*head!$G$67*1000)^2*(0.45^2+1))^0.5+3.1416*0.45*database!AU433/(1.4*head!$G$67*1000))</f>
        <v>52.75011623396955</v>
      </c>
      <c r="AW433" s="52">
        <f>AV433/(head!$G$66*1000)*(210000*database!P433*81000*database!T433)^0.5</f>
        <v>38402749767.133255</v>
      </c>
      <c r="AX433" s="105">
        <f>IF(head!$F$82="S235",database!AF433,(IF(head!$F$82="S275",database!AG433,IF(head!$F$82="S355",database!AH433,IF(head!$F$82="S420",database!AI433,database!AJ433)))))</f>
        <v>1</v>
      </c>
      <c r="AY433" s="52">
        <f t="shared" si="75"/>
        <v>14441763.145531137</v>
      </c>
      <c r="AZ433" s="191">
        <f>(AY433*VLOOKUP(head!$F$82,head!$L$1:$M$5,2)/AW433)^0.5</f>
        <v>0.36537861422474593</v>
      </c>
      <c r="BA433" s="77" t="str">
        <f t="shared" si="67"/>
        <v>HEM 1000</v>
      </c>
    </row>
    <row r="434" spans="1:53">
      <c r="A434" s="98" t="s">
        <v>180</v>
      </c>
      <c r="B434" s="62">
        <f t="shared" si="68"/>
        <v>3216.0091985037579</v>
      </c>
      <c r="C434" s="99">
        <v>1008</v>
      </c>
      <c r="D434" s="99">
        <v>302</v>
      </c>
      <c r="E434" s="126">
        <v>21</v>
      </c>
      <c r="F434" s="99">
        <v>40</v>
      </c>
      <c r="G434" s="99">
        <v>30</v>
      </c>
      <c r="H434" s="100">
        <v>348.70144790238811</v>
      </c>
      <c r="I434" s="101">
        <v>355.36453289415346</v>
      </c>
      <c r="J434" s="101">
        <v>44420.566611769187</v>
      </c>
      <c r="K434" s="101">
        <v>3.1304955592153876</v>
      </c>
      <c r="L434" s="102">
        <v>7222994493.5473776</v>
      </c>
      <c r="M434" s="101">
        <v>14331338.280847972</v>
      </c>
      <c r="N434" s="101">
        <v>16567949.909507828</v>
      </c>
      <c r="O434" s="103">
        <v>403.2427751366651</v>
      </c>
      <c r="P434" s="101">
        <v>184593267.20593578</v>
      </c>
      <c r="Q434" s="101">
        <v>1222471.9682512302</v>
      </c>
      <c r="R434" s="101">
        <v>1939680.9477766522</v>
      </c>
      <c r="S434" s="101">
        <v>64.463796841438082</v>
      </c>
      <c r="T434" s="102">
        <v>17188988.359241001</v>
      </c>
      <c r="U434" s="104">
        <v>42664153291018.797</v>
      </c>
      <c r="V434" s="70">
        <v>3</v>
      </c>
      <c r="W434" s="70">
        <v>4</v>
      </c>
      <c r="X434" s="70">
        <v>4</v>
      </c>
      <c r="Y434" s="70">
        <v>4</v>
      </c>
      <c r="Z434" s="70">
        <v>4</v>
      </c>
      <c r="AA434" s="71">
        <v>4</v>
      </c>
      <c r="AB434" s="70">
        <v>4</v>
      </c>
      <c r="AC434" s="70">
        <v>4</v>
      </c>
      <c r="AD434" s="70">
        <v>4</v>
      </c>
      <c r="AE434" s="70">
        <v>4</v>
      </c>
      <c r="AF434" s="69">
        <v>1</v>
      </c>
      <c r="AG434" s="70">
        <v>1</v>
      </c>
      <c r="AH434" s="70">
        <v>1</v>
      </c>
      <c r="AI434" s="70">
        <v>1</v>
      </c>
      <c r="AJ434" s="70">
        <v>1</v>
      </c>
      <c r="AK434" s="78">
        <f t="shared" si="76"/>
        <v>70.4740123325209</v>
      </c>
      <c r="AL434" s="106">
        <f t="shared" si="70"/>
        <v>63.675359748022217</v>
      </c>
      <c r="AM434" s="107">
        <f t="shared" si="58"/>
        <v>58.981687984723578</v>
      </c>
      <c r="AN434" s="108">
        <f t="shared" si="71"/>
        <v>52.183035400224902</v>
      </c>
      <c r="AO434" s="70" t="str">
        <f>IF(head!$F$82="S460","a0","b")</f>
        <v>b</v>
      </c>
      <c r="AP434" s="70">
        <f t="shared" si="72"/>
        <v>0.34</v>
      </c>
      <c r="AQ434" s="72">
        <f>IF(head!F$82="S235",235,IF(head!F$82="S275",275,IF(head!F$82="S355",355,IF(head!F$82="S420",420,460))))^0.5*head!$G$70*1000/(S434*3.1416*210000^0.5)</f>
        <v>2.0301950265730389</v>
      </c>
      <c r="AR434" s="72">
        <f t="shared" si="73"/>
        <v>2.8719790774783673</v>
      </c>
      <c r="AS434" s="72">
        <f t="shared" si="74"/>
        <v>0.20394113654676874</v>
      </c>
      <c r="AT434" s="52">
        <f>IF(head!F$82="S235",235,IF(head!F$82="S275",275,IF(head!F$82="S355",355,IF(head!F$82="S420",420,460))))*AS434*J434/1000</f>
        <v>3216.0091985037579</v>
      </c>
      <c r="AU434" s="192">
        <f t="shared" si="77"/>
        <v>2536.7259096666085</v>
      </c>
      <c r="AV434" s="52">
        <f>3.1416*1.13*head!$G$66/(1.4*head!$G$67)*((1+3.1416^2*AU434^2/(1.4*head!$G$67*1000)^2*(0.45^2+1))^0.5+3.1416*0.45*database!AU434/(1.4*head!$G$67*1000))</f>
        <v>57.791448551352325</v>
      </c>
      <c r="AW434" s="52">
        <f>AV434/(head!$G$66*1000)*(210000*database!P434*81000*database!T434)^0.5</f>
        <v>42456953108.888214</v>
      </c>
      <c r="AX434" s="105">
        <f>IF(head!$F$82="S235",database!AF434,(IF(head!$F$82="S275",database!AG434,IF(head!$F$82="S355",database!AH434,IF(head!$F$82="S420",database!AI434,database!AJ434)))))</f>
        <v>1</v>
      </c>
      <c r="AY434" s="52">
        <f t="shared" si="75"/>
        <v>16567949.909507828</v>
      </c>
      <c r="AZ434" s="191">
        <f>(AY434*VLOOKUP(head!$F$82,head!$L$1:$M$5,2)/AW434)^0.5</f>
        <v>0.37219809921584979</v>
      </c>
      <c r="BA434" s="77" t="s">
        <v>153</v>
      </c>
    </row>
    <row r="435" spans="1:53">
      <c r="A435" s="82"/>
      <c r="B435" s="83">
        <v>0</v>
      </c>
      <c r="C435" s="84"/>
      <c r="D435" s="84"/>
      <c r="E435" s="125"/>
      <c r="F435" s="84"/>
      <c r="G435" s="84"/>
      <c r="H435" s="85"/>
      <c r="I435" s="86"/>
      <c r="J435" s="86"/>
      <c r="K435" s="86"/>
      <c r="L435" s="87"/>
      <c r="M435" s="88"/>
      <c r="N435" s="88"/>
      <c r="O435" s="89"/>
      <c r="P435" s="88"/>
      <c r="Q435" s="88"/>
      <c r="R435" s="88"/>
      <c r="S435" s="86"/>
      <c r="T435" s="87"/>
      <c r="U435" s="119"/>
      <c r="V435" s="90"/>
      <c r="AA435" s="92"/>
      <c r="AF435" s="90"/>
      <c r="AK435" s="93"/>
      <c r="AM435" s="94"/>
      <c r="AN435" s="95"/>
      <c r="AU435" s="198"/>
      <c r="AV435" s="50"/>
      <c r="AW435" s="50"/>
      <c r="AX435" s="51"/>
      <c r="AY435" s="50"/>
      <c r="AZ435" s="197"/>
      <c r="BA435" s="97" t="str">
        <f>A436</f>
        <v>HF CHS 76,1 x 5</v>
      </c>
    </row>
    <row r="436" spans="1:53">
      <c r="A436" s="82" t="s">
        <v>550</v>
      </c>
      <c r="B436" s="83">
        <f t="shared" si="68"/>
        <v>14.1298442428263</v>
      </c>
      <c r="C436" s="84">
        <v>76.099999999999994</v>
      </c>
      <c r="D436" s="84"/>
      <c r="E436" s="125" t="s">
        <v>822</v>
      </c>
      <c r="F436" s="84"/>
      <c r="G436" s="84"/>
      <c r="H436" s="85">
        <v>8.7671640785566964</v>
      </c>
      <c r="I436" s="86">
        <v>8.9346895068093719</v>
      </c>
      <c r="J436" s="86">
        <v>1116.8361883511714</v>
      </c>
      <c r="K436" s="86">
        <v>0.23907520093818324</v>
      </c>
      <c r="L436" s="87">
        <v>709220.29655293818</v>
      </c>
      <c r="M436" s="88">
        <v>18639.166795083787</v>
      </c>
      <c r="N436" s="88">
        <v>25317.716666666667</v>
      </c>
      <c r="O436" s="89">
        <v>25.199727181062897</v>
      </c>
      <c r="P436" s="88">
        <v>709220.29655293818</v>
      </c>
      <c r="Q436" s="88">
        <v>18639.166795083787</v>
      </c>
      <c r="R436" s="88">
        <v>25317.716666666667</v>
      </c>
      <c r="S436" s="86">
        <v>25.199727181062897</v>
      </c>
      <c r="T436" s="87">
        <v>1418440.5931058764</v>
      </c>
      <c r="U436" s="119"/>
      <c r="V436" s="90">
        <v>1</v>
      </c>
      <c r="W436" s="91">
        <v>1</v>
      </c>
      <c r="X436" s="91">
        <v>1</v>
      </c>
      <c r="Y436" s="91">
        <v>1</v>
      </c>
      <c r="Z436" s="91">
        <v>1</v>
      </c>
      <c r="AA436" s="92">
        <v>1</v>
      </c>
      <c r="AB436" s="91">
        <v>1</v>
      </c>
      <c r="AC436" s="91">
        <v>1</v>
      </c>
      <c r="AD436" s="91">
        <v>1</v>
      </c>
      <c r="AE436" s="91">
        <v>1</v>
      </c>
      <c r="AF436" s="90">
        <v>1</v>
      </c>
      <c r="AG436" s="91">
        <v>1</v>
      </c>
      <c r="AH436" s="91">
        <v>1</v>
      </c>
      <c r="AI436" s="91">
        <v>1</v>
      </c>
      <c r="AJ436" s="91">
        <v>1</v>
      </c>
      <c r="AK436" s="210">
        <f t="shared" ref="AK436:AK491" si="78">K436/J436*1000000</f>
        <v>214.0646976090014</v>
      </c>
      <c r="AL436" s="146"/>
      <c r="AM436" s="94"/>
      <c r="AN436" s="95"/>
      <c r="AO436" s="91" t="str">
        <f>IF(head!$F$82="S460","a0","a")</f>
        <v>a</v>
      </c>
      <c r="AP436" s="91">
        <f>IF(AO436="a0",0.13,IF(AO436="a",0.21,IF(AO436="b",0.34,IF(AO436="c",0.49,0.76))))</f>
        <v>0.21</v>
      </c>
      <c r="AQ436" s="96">
        <f>IF(head!F$82="S235",235,IF(head!F$82="S275",275,IF(head!F$82="S355",355,IF(head!F$82="S420",420,460))))^0.5*head!$G$70*1000/(S436*3.1416*210000^0.5)</f>
        <v>5.1934720880570353</v>
      </c>
      <c r="AR436" s="96">
        <f>0.5*(1+AP436*(AQ436-0.2)+AQ436^2)</f>
        <v>14.510390733959738</v>
      </c>
      <c r="AS436" s="96">
        <f>IF(AQ436&lt;=0.2,1,1/(AR436+(AR436^2-AQ436^2)^0.5))</f>
        <v>3.5638510431479017E-2</v>
      </c>
      <c r="AT436" s="50">
        <f>IF(head!F$82="S235",235,IF(head!F$82="S275",275,IF(head!F$82="S355",355,IF(head!F$82="S420",420,460))))*AS436*J436/1000</f>
        <v>14.1298442428263</v>
      </c>
      <c r="AU436" s="207" t="s">
        <v>47</v>
      </c>
      <c r="AV436" s="208" t="s">
        <v>47</v>
      </c>
      <c r="AW436" s="208" t="s">
        <v>47</v>
      </c>
      <c r="AX436" s="209" t="s">
        <v>47</v>
      </c>
      <c r="AY436" s="208" t="s">
        <v>47</v>
      </c>
      <c r="AZ436" s="197">
        <v>0</v>
      </c>
      <c r="BA436" s="97" t="str">
        <f>A437</f>
        <v>HF CHS 76,1 x 5,6</v>
      </c>
    </row>
    <row r="437" spans="1:53">
      <c r="A437" s="82" t="s">
        <v>551</v>
      </c>
      <c r="B437" s="83">
        <f t="shared" si="68"/>
        <v>15.453895104783598</v>
      </c>
      <c r="C437" s="84">
        <v>76.099999999999994</v>
      </c>
      <c r="D437" s="84"/>
      <c r="E437" s="125" t="s">
        <v>823</v>
      </c>
      <c r="F437" s="84"/>
      <c r="G437" s="84"/>
      <c r="H437" s="85">
        <v>9.736361120152413</v>
      </c>
      <c r="I437" s="86">
        <v>9.9224062370980004</v>
      </c>
      <c r="J437" s="86">
        <v>1240.3007796372501</v>
      </c>
      <c r="K437" s="86">
        <v>0.23907520093818324</v>
      </c>
      <c r="L437" s="87">
        <v>775437.59780518326</v>
      </c>
      <c r="M437" s="88">
        <v>20379.437524446344</v>
      </c>
      <c r="N437" s="88">
        <v>27891.938666666665</v>
      </c>
      <c r="O437" s="89">
        <v>25.004024676039656</v>
      </c>
      <c r="P437" s="88">
        <v>775437.59780518326</v>
      </c>
      <c r="Q437" s="88">
        <v>20379.437524446344</v>
      </c>
      <c r="R437" s="88">
        <v>27891.938666666665</v>
      </c>
      <c r="S437" s="86">
        <v>25.004024676039656</v>
      </c>
      <c r="T437" s="87">
        <v>1550875.1956103665</v>
      </c>
      <c r="U437" s="119"/>
      <c r="V437" s="90">
        <v>1</v>
      </c>
      <c r="W437" s="91">
        <v>1</v>
      </c>
      <c r="X437" s="91">
        <v>1</v>
      </c>
      <c r="Y437" s="91">
        <v>1</v>
      </c>
      <c r="Z437" s="91">
        <v>1</v>
      </c>
      <c r="AA437" s="92">
        <v>1</v>
      </c>
      <c r="AB437" s="91">
        <v>1</v>
      </c>
      <c r="AC437" s="91">
        <v>1</v>
      </c>
      <c r="AD437" s="91">
        <v>1</v>
      </c>
      <c r="AE437" s="91">
        <v>1</v>
      </c>
      <c r="AF437" s="90">
        <v>1</v>
      </c>
      <c r="AG437" s="91">
        <v>1</v>
      </c>
      <c r="AH437" s="91">
        <v>1</v>
      </c>
      <c r="AI437" s="91">
        <v>1</v>
      </c>
      <c r="AJ437" s="91">
        <v>1</v>
      </c>
      <c r="AK437" s="210">
        <f t="shared" si="78"/>
        <v>192.75582573454918</v>
      </c>
      <c r="AL437" s="146"/>
      <c r="AM437" s="94"/>
      <c r="AN437" s="95"/>
      <c r="AO437" s="91" t="str">
        <f>IF(head!$F$82="S460","a0","a")</f>
        <v>a</v>
      </c>
      <c r="AP437" s="91">
        <f t="shared" ref="AP437:AP500" si="79">IF(AO437="a0",0.13,IF(AO437="a",0.21,IF(AO437="b",0.34,IF(AO437="c",0.49,0.76))))</f>
        <v>0.21</v>
      </c>
      <c r="AQ437" s="96">
        <f>IF(head!F$82="S235",235,IF(head!F$82="S275",275,IF(head!F$82="S355",355,IF(head!F$82="S420",420,460))))^0.5*head!$G$70*1000/(S437*3.1416*210000^0.5)</f>
        <v>5.2341205640751776</v>
      </c>
      <c r="AR437" s="96">
        <f t="shared" ref="AR437:AR500" si="80">0.5*(1+AP437*(AQ437-0.2)+AQ437^2)</f>
        <v>14.726591698865221</v>
      </c>
      <c r="AS437" s="96">
        <f t="shared" ref="AS437:AS500" si="81">IF(AQ437&lt;=0.2,1,1/(AR437+(AR437^2-AQ437^2)^0.5))</f>
        <v>3.5098017836807424E-2</v>
      </c>
      <c r="AT437" s="50">
        <f>IF(head!F$82="S235",235,IF(head!F$82="S275",275,IF(head!F$82="S355",355,IF(head!F$82="S420",420,460))))*AS437*J437/1000</f>
        <v>15.453895104783598</v>
      </c>
      <c r="AU437" s="207" t="s">
        <v>47</v>
      </c>
      <c r="AV437" s="208" t="s">
        <v>47</v>
      </c>
      <c r="AW437" s="208" t="s">
        <v>47</v>
      </c>
      <c r="AX437" s="209" t="s">
        <v>47</v>
      </c>
      <c r="AY437" s="208" t="s">
        <v>47</v>
      </c>
      <c r="AZ437" s="197">
        <v>0</v>
      </c>
      <c r="BA437" s="97" t="str">
        <f t="shared" ref="BA437:BA500" si="82">A438</f>
        <v>HF CHS 76,1 x 6,3</v>
      </c>
    </row>
    <row r="438" spans="1:53">
      <c r="A438" s="82" t="s">
        <v>552</v>
      </c>
      <c r="B438" s="83">
        <f t="shared" si="68"/>
        <v>16.909738073902961</v>
      </c>
      <c r="C438" s="84">
        <v>76.099999999999994</v>
      </c>
      <c r="D438" s="84"/>
      <c r="E438" s="125" t="s">
        <v>824</v>
      </c>
      <c r="F438" s="84"/>
      <c r="G438" s="84"/>
      <c r="H438" s="85">
        <v>10.84464903489317</v>
      </c>
      <c r="I438" s="86">
        <v>11.051871627916606</v>
      </c>
      <c r="J438" s="86">
        <v>1381.4839534895757</v>
      </c>
      <c r="K438" s="86">
        <v>0.23907520093818324</v>
      </c>
      <c r="L438" s="87">
        <v>848184.52235916897</v>
      </c>
      <c r="M438" s="88">
        <v>22291.314648072774</v>
      </c>
      <c r="N438" s="88">
        <v>30777.200999999994</v>
      </c>
      <c r="O438" s="89">
        <v>24.778342357793022</v>
      </c>
      <c r="P438" s="88">
        <v>848184.52235916897</v>
      </c>
      <c r="Q438" s="88">
        <v>22291.314648072774</v>
      </c>
      <c r="R438" s="88">
        <v>30777.200999999994</v>
      </c>
      <c r="S438" s="86">
        <v>24.778342357793022</v>
      </c>
      <c r="T438" s="87">
        <v>1696369.0447183379</v>
      </c>
      <c r="U438" s="119"/>
      <c r="V438" s="90">
        <v>1</v>
      </c>
      <c r="W438" s="91">
        <v>1</v>
      </c>
      <c r="X438" s="91">
        <v>1</v>
      </c>
      <c r="Y438" s="91">
        <v>1</v>
      </c>
      <c r="Z438" s="91">
        <v>1</v>
      </c>
      <c r="AA438" s="92">
        <v>1</v>
      </c>
      <c r="AB438" s="91">
        <v>1</v>
      </c>
      <c r="AC438" s="91">
        <v>1</v>
      </c>
      <c r="AD438" s="91">
        <v>1</v>
      </c>
      <c r="AE438" s="91">
        <v>1</v>
      </c>
      <c r="AF438" s="90">
        <v>1</v>
      </c>
      <c r="AG438" s="91">
        <v>1</v>
      </c>
      <c r="AH438" s="91">
        <v>1</v>
      </c>
      <c r="AI438" s="91">
        <v>1</v>
      </c>
      <c r="AJ438" s="91">
        <v>1</v>
      </c>
      <c r="AK438" s="210">
        <f t="shared" si="78"/>
        <v>173.05680629462864</v>
      </c>
      <c r="AL438" s="146"/>
      <c r="AM438" s="94"/>
      <c r="AN438" s="95"/>
      <c r="AO438" s="91" t="str">
        <f>IF(head!$F$82="S460","a0","a")</f>
        <v>a</v>
      </c>
      <c r="AP438" s="91">
        <f t="shared" si="79"/>
        <v>0.21</v>
      </c>
      <c r="AQ438" s="96">
        <f>IF(head!F$82="S235",235,IF(head!F$82="S275",275,IF(head!F$82="S355",355,IF(head!F$82="S420",420,460))))^0.5*head!$G$70*1000/(S438*3.1416*210000^0.5)</f>
        <v>5.2817931825992881</v>
      </c>
      <c r="AR438" s="96">
        <f t="shared" si="80"/>
        <v>14.982257896049083</v>
      </c>
      <c r="AS438" s="96">
        <f t="shared" si="81"/>
        <v>3.4479636825741219E-2</v>
      </c>
      <c r="AT438" s="50">
        <f>IF(head!F$82="S235",235,IF(head!F$82="S275",275,IF(head!F$82="S355",355,IF(head!F$82="S420",420,460))))*AS438*J438/1000</f>
        <v>16.909738073902961</v>
      </c>
      <c r="AU438" s="207" t="s">
        <v>47</v>
      </c>
      <c r="AV438" s="208" t="s">
        <v>47</v>
      </c>
      <c r="AW438" s="208" t="s">
        <v>47</v>
      </c>
      <c r="AX438" s="209" t="s">
        <v>47</v>
      </c>
      <c r="AY438" s="208" t="s">
        <v>47</v>
      </c>
      <c r="AZ438" s="197">
        <v>0</v>
      </c>
      <c r="BA438" s="97" t="str">
        <f t="shared" si="82"/>
        <v>HF CHS 76,1 x 7,1</v>
      </c>
    </row>
    <row r="439" spans="1:53">
      <c r="A439" s="82" t="s">
        <v>553</v>
      </c>
      <c r="B439" s="83">
        <f t="shared" si="68"/>
        <v>18.461256419045526</v>
      </c>
      <c r="C439" s="84">
        <v>76.099999999999994</v>
      </c>
      <c r="D439" s="84"/>
      <c r="E439" s="125" t="s">
        <v>825</v>
      </c>
      <c r="F439" s="84"/>
      <c r="G439" s="84"/>
      <c r="H439" s="85">
        <v>12.081669991800073</v>
      </c>
      <c r="I439" s="86">
        <v>12.312529927949118</v>
      </c>
      <c r="J439" s="86">
        <v>1539.0662409936399</v>
      </c>
      <c r="K439" s="86">
        <v>0.23907520093818324</v>
      </c>
      <c r="L439" s="87">
        <v>925634.83782240085</v>
      </c>
      <c r="M439" s="88">
        <v>24326.802570890959</v>
      </c>
      <c r="N439" s="88">
        <v>33922.403666666665</v>
      </c>
      <c r="O439" s="89">
        <v>24.523993353448777</v>
      </c>
      <c r="P439" s="88">
        <v>925634.83782240085</v>
      </c>
      <c r="Q439" s="88">
        <v>24326.802570890959</v>
      </c>
      <c r="R439" s="88">
        <v>33922.403666666665</v>
      </c>
      <c r="S439" s="86">
        <v>24.523993353448777</v>
      </c>
      <c r="T439" s="87">
        <v>1851269.6756448017</v>
      </c>
      <c r="U439" s="119"/>
      <c r="V439" s="90">
        <v>1</v>
      </c>
      <c r="W439" s="91">
        <v>1</v>
      </c>
      <c r="X439" s="91">
        <v>1</v>
      </c>
      <c r="Y439" s="91">
        <v>1</v>
      </c>
      <c r="Z439" s="91">
        <v>1</v>
      </c>
      <c r="AA439" s="92">
        <v>1</v>
      </c>
      <c r="AB439" s="91">
        <v>1</v>
      </c>
      <c r="AC439" s="91">
        <v>1</v>
      </c>
      <c r="AD439" s="91">
        <v>1</v>
      </c>
      <c r="AE439" s="91">
        <v>1</v>
      </c>
      <c r="AF439" s="90">
        <v>1</v>
      </c>
      <c r="AG439" s="91">
        <v>1</v>
      </c>
      <c r="AH439" s="91">
        <v>1</v>
      </c>
      <c r="AI439" s="91">
        <v>1</v>
      </c>
      <c r="AJ439" s="91">
        <v>1</v>
      </c>
      <c r="AK439" s="210">
        <f t="shared" si="78"/>
        <v>155.33782404572358</v>
      </c>
      <c r="AL439" s="146"/>
      <c r="AM439" s="94"/>
      <c r="AN439" s="95"/>
      <c r="AO439" s="91" t="str">
        <f>IF(head!$F$82="S460","a0","a")</f>
        <v>a</v>
      </c>
      <c r="AP439" s="91">
        <f t="shared" si="79"/>
        <v>0.21</v>
      </c>
      <c r="AQ439" s="96">
        <f>IF(head!F$82="S235",235,IF(head!F$82="S275",275,IF(head!F$82="S355",355,IF(head!F$82="S420",420,460))))^0.5*head!$G$70*1000/(S439*3.1416*210000^0.5)</f>
        <v>5.3365729575643401</v>
      </c>
      <c r="AR439" s="96">
        <f t="shared" si="80"/>
        <v>15.27884562624776</v>
      </c>
      <c r="AS439" s="96">
        <f t="shared" si="81"/>
        <v>3.378901948690969E-2</v>
      </c>
      <c r="AT439" s="50">
        <f>IF(head!F$82="S235",235,IF(head!F$82="S275",275,IF(head!F$82="S355",355,IF(head!F$82="S420",420,460))))*AS439*J439/1000</f>
        <v>18.461256419045526</v>
      </c>
      <c r="AU439" s="207" t="s">
        <v>47</v>
      </c>
      <c r="AV439" s="208" t="s">
        <v>47</v>
      </c>
      <c r="AW439" s="208" t="s">
        <v>47</v>
      </c>
      <c r="AX439" s="209" t="s">
        <v>47</v>
      </c>
      <c r="AY439" s="208" t="s">
        <v>47</v>
      </c>
      <c r="AZ439" s="197">
        <v>0</v>
      </c>
      <c r="BA439" s="97" t="str">
        <f t="shared" si="82"/>
        <v>HF CHS 76,1 x 8</v>
      </c>
    </row>
    <row r="440" spans="1:53">
      <c r="A440" s="82" t="s">
        <v>554</v>
      </c>
      <c r="B440" s="83">
        <f t="shared" si="68"/>
        <v>20.070520635155663</v>
      </c>
      <c r="C440" s="84">
        <v>76.099999999999994</v>
      </c>
      <c r="D440" s="84"/>
      <c r="E440" s="125" t="s">
        <v>826</v>
      </c>
      <c r="F440" s="84"/>
      <c r="G440" s="84"/>
      <c r="H440" s="85">
        <v>13.435586469754394</v>
      </c>
      <c r="I440" s="86">
        <v>13.692317421405752</v>
      </c>
      <c r="J440" s="86">
        <v>1711.5396776757191</v>
      </c>
      <c r="K440" s="86">
        <v>0.23907520093818324</v>
      </c>
      <c r="L440" s="87">
        <v>1005874.0079946171</v>
      </c>
      <c r="M440" s="88">
        <v>26435.58496700702</v>
      </c>
      <c r="N440" s="88">
        <v>37271.546666666662</v>
      </c>
      <c r="O440" s="89">
        <v>24.242550402133848</v>
      </c>
      <c r="P440" s="88">
        <v>1005874.0079946171</v>
      </c>
      <c r="Q440" s="88">
        <v>26435.58496700702</v>
      </c>
      <c r="R440" s="88">
        <v>37271.546666666662</v>
      </c>
      <c r="S440" s="86">
        <v>24.242550402133848</v>
      </c>
      <c r="T440" s="87">
        <v>2011748.0159892342</v>
      </c>
      <c r="U440" s="119"/>
      <c r="V440" s="90">
        <v>1</v>
      </c>
      <c r="W440" s="91">
        <v>1</v>
      </c>
      <c r="X440" s="91">
        <v>1</v>
      </c>
      <c r="Y440" s="91">
        <v>1</v>
      </c>
      <c r="Z440" s="91">
        <v>1</v>
      </c>
      <c r="AA440" s="92">
        <v>1</v>
      </c>
      <c r="AB440" s="91">
        <v>1</v>
      </c>
      <c r="AC440" s="91">
        <v>1</v>
      </c>
      <c r="AD440" s="91">
        <v>1</v>
      </c>
      <c r="AE440" s="91">
        <v>1</v>
      </c>
      <c r="AF440" s="90">
        <v>1</v>
      </c>
      <c r="AG440" s="91">
        <v>1</v>
      </c>
      <c r="AH440" s="91">
        <v>1</v>
      </c>
      <c r="AI440" s="91">
        <v>1</v>
      </c>
      <c r="AJ440" s="91">
        <v>1</v>
      </c>
      <c r="AK440" s="210">
        <f t="shared" si="78"/>
        <v>139.68428781204113</v>
      </c>
      <c r="AL440" s="146"/>
      <c r="AM440" s="94"/>
      <c r="AN440" s="95"/>
      <c r="AO440" s="91" t="str">
        <f>IF(head!$F$82="S460","a0","a")</f>
        <v>a</v>
      </c>
      <c r="AP440" s="91">
        <f t="shared" si="79"/>
        <v>0.21</v>
      </c>
      <c r="AQ440" s="96">
        <f>IF(head!F$82="S235",235,IF(head!F$82="S275",275,IF(head!F$82="S355",355,IF(head!F$82="S420",420,460))))^0.5*head!$G$70*1000/(S440*3.1416*210000^0.5)</f>
        <v>5.3985276949236631</v>
      </c>
      <c r="AR440" s="96">
        <f t="shared" si="80"/>
        <v>15.617896044395884</v>
      </c>
      <c r="AS440" s="96">
        <f t="shared" si="81"/>
        <v>3.3032642236074862E-2</v>
      </c>
      <c r="AT440" s="50">
        <f>IF(head!F$82="S235",235,IF(head!F$82="S275",275,IF(head!F$82="S355",355,IF(head!F$82="S420",420,460))))*AS440*J440/1000</f>
        <v>20.070520635155663</v>
      </c>
      <c r="AU440" s="207" t="s">
        <v>47</v>
      </c>
      <c r="AV440" s="208" t="s">
        <v>47</v>
      </c>
      <c r="AW440" s="208" t="s">
        <v>47</v>
      </c>
      <c r="AX440" s="209" t="s">
        <v>47</v>
      </c>
      <c r="AY440" s="208" t="s">
        <v>47</v>
      </c>
      <c r="AZ440" s="197">
        <v>0</v>
      </c>
      <c r="BA440" s="97" t="str">
        <f t="shared" si="82"/>
        <v>HF CHS 76,1 x 8,8</v>
      </c>
    </row>
    <row r="441" spans="1:53">
      <c r="A441" s="82" t="s">
        <v>555</v>
      </c>
      <c r="B441" s="83">
        <f t="shared" si="68"/>
        <v>21.386233658458476</v>
      </c>
      <c r="C441" s="84">
        <v>76.099999999999994</v>
      </c>
      <c r="D441" s="84"/>
      <c r="E441" s="125" t="s">
        <v>827</v>
      </c>
      <c r="F441" s="84"/>
      <c r="G441" s="84"/>
      <c r="H441" s="85">
        <v>14.605528140321848</v>
      </c>
      <c r="I441" s="86">
        <v>14.884614665296152</v>
      </c>
      <c r="J441" s="86">
        <v>1860.5768331620191</v>
      </c>
      <c r="K441" s="86">
        <v>0.23907520093818324</v>
      </c>
      <c r="L441" s="87">
        <v>1071396.8893290581</v>
      </c>
      <c r="M441" s="88">
        <v>28157.605501420716</v>
      </c>
      <c r="N441" s="88">
        <v>40084.909333333329</v>
      </c>
      <c r="O441" s="89">
        <v>23.99669248042321</v>
      </c>
      <c r="P441" s="88">
        <v>1071396.8893290581</v>
      </c>
      <c r="Q441" s="88">
        <v>28157.605501420716</v>
      </c>
      <c r="R441" s="88">
        <v>40084.909333333329</v>
      </c>
      <c r="S441" s="86">
        <v>23.99669248042321</v>
      </c>
      <c r="T441" s="87">
        <v>2142793.7786581162</v>
      </c>
      <c r="U441" s="119"/>
      <c r="V441" s="90">
        <v>1</v>
      </c>
      <c r="W441" s="91">
        <v>1</v>
      </c>
      <c r="X441" s="91">
        <v>1</v>
      </c>
      <c r="Y441" s="91">
        <v>1</v>
      </c>
      <c r="Z441" s="91">
        <v>1</v>
      </c>
      <c r="AA441" s="92">
        <v>1</v>
      </c>
      <c r="AB441" s="91">
        <v>1</v>
      </c>
      <c r="AC441" s="91">
        <v>1</v>
      </c>
      <c r="AD441" s="91">
        <v>1</v>
      </c>
      <c r="AE441" s="91">
        <v>1</v>
      </c>
      <c r="AF441" s="90">
        <v>1</v>
      </c>
      <c r="AG441" s="91">
        <v>1</v>
      </c>
      <c r="AH441" s="91">
        <v>1</v>
      </c>
      <c r="AI441" s="91">
        <v>1</v>
      </c>
      <c r="AJ441" s="91">
        <v>1</v>
      </c>
      <c r="AK441" s="210">
        <f t="shared" si="78"/>
        <v>128.49520464676482</v>
      </c>
      <c r="AL441" s="146"/>
      <c r="AM441" s="94"/>
      <c r="AN441" s="95"/>
      <c r="AO441" s="91" t="str">
        <f>IF(head!$F$82="S460","a0","a")</f>
        <v>a</v>
      </c>
      <c r="AP441" s="91">
        <f t="shared" si="79"/>
        <v>0.21</v>
      </c>
      <c r="AQ441" s="96">
        <f>IF(head!F$82="S235",235,IF(head!F$82="S275",275,IF(head!F$82="S355",355,IF(head!F$82="S420",420,460))))^0.5*head!$G$70*1000/(S441*3.1416*210000^0.5)</f>
        <v>5.4538382674308545</v>
      </c>
      <c r="AR441" s="96">
        <f t="shared" si="80"/>
        <v>15.923828941726832</v>
      </c>
      <c r="AS441" s="96">
        <f t="shared" si="81"/>
        <v>3.2378620780516613E-2</v>
      </c>
      <c r="AT441" s="50">
        <f>IF(head!F$82="S235",235,IF(head!F$82="S275",275,IF(head!F$82="S355",355,IF(head!F$82="S420",420,460))))*AS441*J441/1000</f>
        <v>21.386233658458476</v>
      </c>
      <c r="AU441" s="207" t="s">
        <v>47</v>
      </c>
      <c r="AV441" s="208" t="s">
        <v>47</v>
      </c>
      <c r="AW441" s="208" t="s">
        <v>47</v>
      </c>
      <c r="AX441" s="209" t="s">
        <v>47</v>
      </c>
      <c r="AY441" s="208" t="s">
        <v>47</v>
      </c>
      <c r="AZ441" s="197">
        <v>0</v>
      </c>
      <c r="BA441" s="97" t="str">
        <f t="shared" si="82"/>
        <v>HF CHS 76,1 x 10</v>
      </c>
    </row>
    <row r="442" spans="1:53">
      <c r="A442" s="82" t="s">
        <v>556</v>
      </c>
      <c r="B442" s="83">
        <f t="shared" si="68"/>
        <v>23.169873946903042</v>
      </c>
      <c r="C442" s="84">
        <v>76.099999999999994</v>
      </c>
      <c r="D442" s="84"/>
      <c r="E442" s="125" t="s">
        <v>828</v>
      </c>
      <c r="F442" s="84"/>
      <c r="G442" s="84"/>
      <c r="H442" s="85">
        <v>16.301253040579393</v>
      </c>
      <c r="I442" s="86">
        <v>16.612741952182819</v>
      </c>
      <c r="J442" s="86">
        <v>2076.5927440228529</v>
      </c>
      <c r="K442" s="86">
        <v>0.23907520093818324</v>
      </c>
      <c r="L442" s="87">
        <v>1160091.1321892964</v>
      </c>
      <c r="M442" s="88">
        <v>30488.597429416466</v>
      </c>
      <c r="N442" s="88">
        <v>44025.43333333332</v>
      </c>
      <c r="O442" s="89">
        <v>23.635804407720077</v>
      </c>
      <c r="P442" s="88">
        <v>1160091.1321892964</v>
      </c>
      <c r="Q442" s="88">
        <v>30488.597429416466</v>
      </c>
      <c r="R442" s="88">
        <v>44025.43333333332</v>
      </c>
      <c r="S442" s="86">
        <v>23.635804407720077</v>
      </c>
      <c r="T442" s="87">
        <v>2320182.2643785928</v>
      </c>
      <c r="U442" s="119"/>
      <c r="V442" s="90">
        <v>1</v>
      </c>
      <c r="W442" s="91">
        <v>1</v>
      </c>
      <c r="X442" s="91">
        <v>1</v>
      </c>
      <c r="Y442" s="91">
        <v>1</v>
      </c>
      <c r="Z442" s="91">
        <v>1</v>
      </c>
      <c r="AA442" s="92">
        <v>1</v>
      </c>
      <c r="AB442" s="91">
        <v>1</v>
      </c>
      <c r="AC442" s="91">
        <v>1</v>
      </c>
      <c r="AD442" s="91">
        <v>1</v>
      </c>
      <c r="AE442" s="91">
        <v>1</v>
      </c>
      <c r="AF442" s="90">
        <v>1</v>
      </c>
      <c r="AG442" s="91">
        <v>1</v>
      </c>
      <c r="AH442" s="91">
        <v>1</v>
      </c>
      <c r="AI442" s="91">
        <v>1</v>
      </c>
      <c r="AJ442" s="91">
        <v>1</v>
      </c>
      <c r="AK442" s="210">
        <f t="shared" si="78"/>
        <v>115.12859304084721</v>
      </c>
      <c r="AL442" s="146"/>
      <c r="AM442" s="94"/>
      <c r="AN442" s="95"/>
      <c r="AO442" s="91" t="str">
        <f>IF(head!$F$82="S460","a0","a")</f>
        <v>a</v>
      </c>
      <c r="AP442" s="91">
        <f t="shared" si="79"/>
        <v>0.21</v>
      </c>
      <c r="AQ442" s="96">
        <f>IF(head!F$82="S235",235,IF(head!F$82="S275",275,IF(head!F$82="S355",355,IF(head!F$82="S420",420,460))))^0.5*head!$G$70*1000/(S442*3.1416*210000^0.5)</f>
        <v>5.5371113030007741</v>
      </c>
      <c r="AR442" s="96">
        <f t="shared" si="80"/>
        <v>16.390197477724545</v>
      </c>
      <c r="AS442" s="96">
        <f t="shared" si="81"/>
        <v>3.1429971400274807E-2</v>
      </c>
      <c r="AT442" s="50">
        <f>IF(head!F$82="S235",235,IF(head!F$82="S275",275,IF(head!F$82="S355",355,IF(head!F$82="S420",420,460))))*AS442*J442/1000</f>
        <v>23.169873946903042</v>
      </c>
      <c r="AU442" s="207" t="s">
        <v>47</v>
      </c>
      <c r="AV442" s="208" t="s">
        <v>47</v>
      </c>
      <c r="AW442" s="208" t="s">
        <v>47</v>
      </c>
      <c r="AX442" s="209" t="s">
        <v>47</v>
      </c>
      <c r="AY442" s="208" t="s">
        <v>47</v>
      </c>
      <c r="AZ442" s="197">
        <v>0</v>
      </c>
      <c r="BA442" s="97" t="str">
        <f t="shared" si="82"/>
        <v>HF CHS 76,1 x 12,5</v>
      </c>
    </row>
    <row r="443" spans="1:53">
      <c r="A443" s="82" t="s">
        <v>557</v>
      </c>
      <c r="B443" s="83">
        <f t="shared" si="68"/>
        <v>26.225629864622015</v>
      </c>
      <c r="C443" s="84">
        <v>76.099999999999994</v>
      </c>
      <c r="D443" s="84"/>
      <c r="E443" s="125" t="s">
        <v>829</v>
      </c>
      <c r="F443" s="84"/>
      <c r="G443" s="84"/>
      <c r="H443" s="85">
        <v>19.605894352890498</v>
      </c>
      <c r="I443" s="86">
        <v>19.980529276831081</v>
      </c>
      <c r="J443" s="86">
        <v>2497.5661596038854</v>
      </c>
      <c r="K443" s="86">
        <v>0.23907520093818324</v>
      </c>
      <c r="L443" s="87">
        <v>1311599.9906736794</v>
      </c>
      <c r="M443" s="88">
        <v>34470.43339484046</v>
      </c>
      <c r="N443" s="88">
        <v>51213.04166666665</v>
      </c>
      <c r="O443" s="89">
        <v>22.916178782685385</v>
      </c>
      <c r="P443" s="88">
        <v>1311599.9906736794</v>
      </c>
      <c r="Q443" s="88">
        <v>34470.43339484046</v>
      </c>
      <c r="R443" s="88">
        <v>51213.04166666665</v>
      </c>
      <c r="S443" s="86">
        <v>22.916178782685385</v>
      </c>
      <c r="T443" s="87">
        <v>2623199.9813473588</v>
      </c>
      <c r="U443" s="119"/>
      <c r="V443" s="90">
        <v>1</v>
      </c>
      <c r="W443" s="91">
        <v>1</v>
      </c>
      <c r="X443" s="91">
        <v>1</v>
      </c>
      <c r="Y443" s="91">
        <v>1</v>
      </c>
      <c r="Z443" s="91">
        <v>1</v>
      </c>
      <c r="AA443" s="92">
        <v>1</v>
      </c>
      <c r="AB443" s="91">
        <v>1</v>
      </c>
      <c r="AC443" s="91">
        <v>1</v>
      </c>
      <c r="AD443" s="91">
        <v>1</v>
      </c>
      <c r="AE443" s="91">
        <v>1</v>
      </c>
      <c r="AF443" s="90">
        <v>1</v>
      </c>
      <c r="AG443" s="91">
        <v>1</v>
      </c>
      <c r="AH443" s="91">
        <v>1</v>
      </c>
      <c r="AI443" s="91">
        <v>1</v>
      </c>
      <c r="AJ443" s="91">
        <v>1</v>
      </c>
      <c r="AK443" s="210">
        <f t="shared" si="78"/>
        <v>95.723270440251582</v>
      </c>
      <c r="AL443" s="146"/>
      <c r="AM443" s="94"/>
      <c r="AN443" s="95"/>
      <c r="AO443" s="91" t="str">
        <f>IF(head!$F$82="S460","a0","a")</f>
        <v>a</v>
      </c>
      <c r="AP443" s="91">
        <f t="shared" si="79"/>
        <v>0.21</v>
      </c>
      <c r="AQ443" s="96">
        <f>IF(head!F$82="S235",235,IF(head!F$82="S275",275,IF(head!F$82="S355",355,IF(head!F$82="S420",420,460))))^0.5*head!$G$70*1000/(S443*3.1416*210000^0.5)</f>
        <v>5.7109905182091669</v>
      </c>
      <c r="AR443" s="96">
        <f t="shared" si="80"/>
        <v>17.386360353949467</v>
      </c>
      <c r="AS443" s="96">
        <f t="shared" si="81"/>
        <v>2.957880151406167E-2</v>
      </c>
      <c r="AT443" s="50">
        <f>IF(head!F$82="S235",235,IF(head!F$82="S275",275,IF(head!F$82="S355",355,IF(head!F$82="S420",420,460))))*AS443*J443/1000</f>
        <v>26.225629864622015</v>
      </c>
      <c r="AU443" s="207" t="s">
        <v>47</v>
      </c>
      <c r="AV443" s="208" t="s">
        <v>47</v>
      </c>
      <c r="AW443" s="208" t="s">
        <v>47</v>
      </c>
      <c r="AX443" s="209" t="s">
        <v>47</v>
      </c>
      <c r="AY443" s="208" t="s">
        <v>47</v>
      </c>
      <c r="AZ443" s="197">
        <v>0</v>
      </c>
      <c r="BA443" s="97" t="str">
        <f t="shared" si="82"/>
        <v>HF CHS 76,1 x 14,2</v>
      </c>
    </row>
    <row r="444" spans="1:53">
      <c r="A444" s="82" t="s">
        <v>558</v>
      </c>
      <c r="B444" s="83">
        <f t="shared" si="68"/>
        <v>27.857040826546299</v>
      </c>
      <c r="C444" s="84">
        <v>76.099999999999994</v>
      </c>
      <c r="D444" s="84"/>
      <c r="E444" s="125" t="s">
        <v>830</v>
      </c>
      <c r="F444" s="84"/>
      <c r="G444" s="84"/>
      <c r="H444" s="85">
        <v>21.676967318620992</v>
      </c>
      <c r="I444" s="86">
        <v>22.091176885218847</v>
      </c>
      <c r="J444" s="86">
        <v>2761.3971106523559</v>
      </c>
      <c r="K444" s="86">
        <v>0.23907520093818324</v>
      </c>
      <c r="L444" s="87">
        <v>1392175.6120673264</v>
      </c>
      <c r="M444" s="88">
        <v>36588.058135803592</v>
      </c>
      <c r="N444" s="88">
        <v>55363.291333333313</v>
      </c>
      <c r="O444" s="89">
        <v>22.453424015058371</v>
      </c>
      <c r="P444" s="88">
        <v>1392175.6120673264</v>
      </c>
      <c r="Q444" s="88">
        <v>36588.058135803592</v>
      </c>
      <c r="R444" s="88">
        <v>55363.291333333313</v>
      </c>
      <c r="S444" s="86">
        <v>22.453424015058371</v>
      </c>
      <c r="T444" s="87">
        <v>2784351.2241346529</v>
      </c>
      <c r="U444" s="119"/>
      <c r="V444" s="90">
        <v>1</v>
      </c>
      <c r="W444" s="91">
        <v>1</v>
      </c>
      <c r="X444" s="91">
        <v>1</v>
      </c>
      <c r="Y444" s="91">
        <v>1</v>
      </c>
      <c r="Z444" s="91">
        <v>1</v>
      </c>
      <c r="AA444" s="92">
        <v>1</v>
      </c>
      <c r="AB444" s="91">
        <v>1</v>
      </c>
      <c r="AC444" s="91">
        <v>1</v>
      </c>
      <c r="AD444" s="91">
        <v>1</v>
      </c>
      <c r="AE444" s="91">
        <v>1</v>
      </c>
      <c r="AF444" s="90">
        <v>1</v>
      </c>
      <c r="AG444" s="91">
        <v>1</v>
      </c>
      <c r="AH444" s="91">
        <v>1</v>
      </c>
      <c r="AI444" s="91">
        <v>1</v>
      </c>
      <c r="AJ444" s="91">
        <v>1</v>
      </c>
      <c r="AK444" s="210">
        <f t="shared" si="78"/>
        <v>86.577624064256312</v>
      </c>
      <c r="AL444" s="146"/>
      <c r="AM444" s="94"/>
      <c r="AN444" s="95"/>
      <c r="AO444" s="91" t="str">
        <f>IF(head!$F$82="S460","a0","a")</f>
        <v>a</v>
      </c>
      <c r="AP444" s="91">
        <f t="shared" si="79"/>
        <v>0.21</v>
      </c>
      <c r="AQ444" s="96">
        <f>IF(head!F$82="S235",235,IF(head!F$82="S275",275,IF(head!F$82="S355",355,IF(head!F$82="S420",420,460))))^0.5*head!$G$70*1000/(S444*3.1416*210000^0.5)</f>
        <v>5.8286914126652469</v>
      </c>
      <c r="AR444" s="96">
        <f t="shared" si="80"/>
        <v>18.077834390368647</v>
      </c>
      <c r="AS444" s="96">
        <f t="shared" si="81"/>
        <v>2.8416969524904395E-2</v>
      </c>
      <c r="AT444" s="50">
        <f>IF(head!F$82="S235",235,IF(head!F$82="S275",275,IF(head!F$82="S355",355,IF(head!F$82="S420",420,460))))*AS444*J444/1000</f>
        <v>27.857040826546299</v>
      </c>
      <c r="AU444" s="207" t="s">
        <v>47</v>
      </c>
      <c r="AV444" s="208" t="s">
        <v>47</v>
      </c>
      <c r="AW444" s="208" t="s">
        <v>47</v>
      </c>
      <c r="AX444" s="209" t="s">
        <v>47</v>
      </c>
      <c r="AY444" s="208" t="s">
        <v>47</v>
      </c>
      <c r="AZ444" s="197">
        <v>0</v>
      </c>
      <c r="BA444" s="97" t="str">
        <f t="shared" si="82"/>
        <v>HF CHS 76,1 x 16</v>
      </c>
    </row>
    <row r="445" spans="1:53">
      <c r="A445" s="82" t="s">
        <v>559</v>
      </c>
      <c r="B445" s="83">
        <f t="shared" si="68"/>
        <v>29.24827666421556</v>
      </c>
      <c r="C445" s="84">
        <v>76.099999999999994</v>
      </c>
      <c r="D445" s="84"/>
      <c r="E445" s="125" t="s">
        <v>831</v>
      </c>
      <c r="F445" s="84"/>
      <c r="G445" s="84"/>
      <c r="H445" s="85">
        <v>23.714500641181765</v>
      </c>
      <c r="I445" s="86">
        <v>24.167643965535557</v>
      </c>
      <c r="J445" s="86">
        <v>3020.9554956919446</v>
      </c>
      <c r="K445" s="86">
        <v>0.23907520093818324</v>
      </c>
      <c r="L445" s="87">
        <v>1460635.7583614246</v>
      </c>
      <c r="M445" s="88">
        <v>38387.27354432128</v>
      </c>
      <c r="N445" s="88">
        <v>59157.493333333317</v>
      </c>
      <c r="O445" s="89">
        <v>21.988661851054054</v>
      </c>
      <c r="P445" s="88">
        <v>1460635.7583614246</v>
      </c>
      <c r="Q445" s="88">
        <v>38387.27354432128</v>
      </c>
      <c r="R445" s="88">
        <v>59157.493333333317</v>
      </c>
      <c r="S445" s="86">
        <v>21.988661851054054</v>
      </c>
      <c r="T445" s="87">
        <v>2921271.5167228491</v>
      </c>
      <c r="U445" s="119"/>
      <c r="V445" s="90">
        <v>1</v>
      </c>
      <c r="W445" s="91">
        <v>1</v>
      </c>
      <c r="X445" s="91">
        <v>1</v>
      </c>
      <c r="Y445" s="91">
        <v>1</v>
      </c>
      <c r="Z445" s="91">
        <v>1</v>
      </c>
      <c r="AA445" s="92">
        <v>1</v>
      </c>
      <c r="AB445" s="91">
        <v>1</v>
      </c>
      <c r="AC445" s="91">
        <v>1</v>
      </c>
      <c r="AD445" s="91">
        <v>1</v>
      </c>
      <c r="AE445" s="91">
        <v>1</v>
      </c>
      <c r="AF445" s="90">
        <v>1</v>
      </c>
      <c r="AG445" s="91">
        <v>1</v>
      </c>
      <c r="AH445" s="91">
        <v>1</v>
      </c>
      <c r="AI445" s="91">
        <v>1</v>
      </c>
      <c r="AJ445" s="91">
        <v>1</v>
      </c>
      <c r="AK445" s="210">
        <f t="shared" si="78"/>
        <v>79.138935108153092</v>
      </c>
      <c r="AL445" s="146"/>
      <c r="AM445" s="94"/>
      <c r="AN445" s="95"/>
      <c r="AO445" s="91" t="str">
        <f>IF(head!$F$82="S460","a0","a")</f>
        <v>a</v>
      </c>
      <c r="AP445" s="91">
        <f t="shared" si="79"/>
        <v>0.21</v>
      </c>
      <c r="AQ445" s="96">
        <f>IF(head!F$82="S235",235,IF(head!F$82="S275",275,IF(head!F$82="S355",355,IF(head!F$82="S420",420,460))))^0.5*head!$G$70*1000/(S445*3.1416*210000^0.5)</f>
        <v>5.9518892340066945</v>
      </c>
      <c r="AR445" s="96">
        <f t="shared" si="80"/>
        <v>18.816441096513099</v>
      </c>
      <c r="AS445" s="96">
        <f t="shared" si="81"/>
        <v>2.7272666494980422E-2</v>
      </c>
      <c r="AT445" s="50">
        <f>IF(head!F$82="S235",235,IF(head!F$82="S275",275,IF(head!F$82="S355",355,IF(head!F$82="S420",420,460))))*AS445*J445/1000</f>
        <v>29.24827666421556</v>
      </c>
      <c r="AU445" s="207" t="s">
        <v>47</v>
      </c>
      <c r="AV445" s="208" t="s">
        <v>47</v>
      </c>
      <c r="AW445" s="208" t="s">
        <v>47</v>
      </c>
      <c r="AX445" s="209" t="s">
        <v>47</v>
      </c>
      <c r="AY445" s="208" t="s">
        <v>47</v>
      </c>
      <c r="AZ445" s="197">
        <v>0</v>
      </c>
      <c r="BA445" s="97" t="str">
        <f t="shared" si="82"/>
        <v>HF CHS 76,1 x 17,5</v>
      </c>
    </row>
    <row r="446" spans="1:53">
      <c r="A446" s="82" t="s">
        <v>560</v>
      </c>
      <c r="B446" s="83">
        <f t="shared" si="68"/>
        <v>30.178647352560247</v>
      </c>
      <c r="C446" s="84">
        <v>76.099999999999994</v>
      </c>
      <c r="D446" s="84"/>
      <c r="E446" s="125" t="s">
        <v>832</v>
      </c>
      <c r="F446" s="84"/>
      <c r="G446" s="84"/>
      <c r="H446" s="85">
        <v>25.290370640112211</v>
      </c>
      <c r="I446" s="86">
        <v>25.773626130050662</v>
      </c>
      <c r="J446" s="86">
        <v>3221.7032662563329</v>
      </c>
      <c r="K446" s="86">
        <v>0.23907520093818324</v>
      </c>
      <c r="L446" s="87">
        <v>1506230.8466855742</v>
      </c>
      <c r="M446" s="88">
        <v>39585.567587005899</v>
      </c>
      <c r="N446" s="88">
        <v>61880.758333333317</v>
      </c>
      <c r="O446" s="89">
        <v>21.622355329611985</v>
      </c>
      <c r="P446" s="88">
        <v>1506230.8466855742</v>
      </c>
      <c r="Q446" s="88">
        <v>39585.567587005899</v>
      </c>
      <c r="R446" s="88">
        <v>61880.758333333317</v>
      </c>
      <c r="S446" s="86">
        <v>21.622355329611985</v>
      </c>
      <c r="T446" s="87">
        <v>3012461.6933711483</v>
      </c>
      <c r="U446" s="119"/>
      <c r="V446" s="90">
        <v>1</v>
      </c>
      <c r="W446" s="91">
        <v>1</v>
      </c>
      <c r="X446" s="91">
        <v>1</v>
      </c>
      <c r="Y446" s="91">
        <v>1</v>
      </c>
      <c r="Z446" s="91">
        <v>1</v>
      </c>
      <c r="AA446" s="92">
        <v>1</v>
      </c>
      <c r="AB446" s="91">
        <v>1</v>
      </c>
      <c r="AC446" s="91">
        <v>1</v>
      </c>
      <c r="AD446" s="91">
        <v>1</v>
      </c>
      <c r="AE446" s="91">
        <v>1</v>
      </c>
      <c r="AF446" s="90">
        <v>1</v>
      </c>
      <c r="AG446" s="91">
        <v>1</v>
      </c>
      <c r="AH446" s="91">
        <v>1</v>
      </c>
      <c r="AI446" s="91">
        <v>1</v>
      </c>
      <c r="AJ446" s="91">
        <v>1</v>
      </c>
      <c r="AK446" s="210">
        <f t="shared" si="78"/>
        <v>74.207703559239391</v>
      </c>
      <c r="AL446" s="146"/>
      <c r="AM446" s="94"/>
      <c r="AN446" s="95"/>
      <c r="AO446" s="91" t="str">
        <f>IF(head!$F$82="S460","a0","a")</f>
        <v>a</v>
      </c>
      <c r="AP446" s="91">
        <f t="shared" si="79"/>
        <v>0.21</v>
      </c>
      <c r="AQ446" s="96">
        <f>IF(head!F$82="S235",235,IF(head!F$82="S275",275,IF(head!F$82="S355",355,IF(head!F$82="S420",420,460))))^0.5*head!$G$70*1000/(S446*3.1416*210000^0.5)</f>
        <v>6.0527207950499866</v>
      </c>
      <c r="AR446" s="96">
        <f t="shared" si="80"/>
        <v>19.43225019489552</v>
      </c>
      <c r="AS446" s="96">
        <f t="shared" si="81"/>
        <v>2.6386748625470802E-2</v>
      </c>
      <c r="AT446" s="50">
        <f>IF(head!F$82="S235",235,IF(head!F$82="S275",275,IF(head!F$82="S355",355,IF(head!F$82="S420",420,460))))*AS446*J446/1000</f>
        <v>30.178647352560247</v>
      </c>
      <c r="AU446" s="207" t="s">
        <v>47</v>
      </c>
      <c r="AV446" s="208" t="s">
        <v>47</v>
      </c>
      <c r="AW446" s="208" t="s">
        <v>47</v>
      </c>
      <c r="AX446" s="209" t="s">
        <v>47</v>
      </c>
      <c r="AY446" s="208" t="s">
        <v>47</v>
      </c>
      <c r="AZ446" s="197">
        <v>0</v>
      </c>
      <c r="BA446" s="97" t="str">
        <f t="shared" si="82"/>
        <v>HF CHS 76,1 x 20</v>
      </c>
    </row>
    <row r="447" spans="1:53">
      <c r="A447" s="82" t="s">
        <v>561</v>
      </c>
      <c r="B447" s="83">
        <f t="shared" si="68"/>
        <v>31.342455582866027</v>
      </c>
      <c r="C447" s="84">
        <v>76.099999999999994</v>
      </c>
      <c r="D447" s="84"/>
      <c r="E447" s="125" t="s">
        <v>833</v>
      </c>
      <c r="F447" s="84"/>
      <c r="G447" s="84"/>
      <c r="H447" s="85">
        <v>27.670205615022823</v>
      </c>
      <c r="I447" s="86">
        <v>28.198935658621984</v>
      </c>
      <c r="J447" s="86">
        <v>3524.866957327748</v>
      </c>
      <c r="K447" s="86">
        <v>0.23907520093818324</v>
      </c>
      <c r="L447" s="87">
        <v>1562930.4149628195</v>
      </c>
      <c r="M447" s="88">
        <v>41075.700787459122</v>
      </c>
      <c r="N447" s="88">
        <v>65610.866666666654</v>
      </c>
      <c r="O447" s="89">
        <v>21.057095003822344</v>
      </c>
      <c r="P447" s="88">
        <v>1562930.4149628195</v>
      </c>
      <c r="Q447" s="88">
        <v>41075.700787459122</v>
      </c>
      <c r="R447" s="88">
        <v>65610.866666666654</v>
      </c>
      <c r="S447" s="86">
        <v>21.057095003822344</v>
      </c>
      <c r="T447" s="87">
        <v>3125860.8299256391</v>
      </c>
      <c r="U447" s="119"/>
      <c r="V447" s="90">
        <v>1</v>
      </c>
      <c r="W447" s="91">
        <v>1</v>
      </c>
      <c r="X447" s="91">
        <v>1</v>
      </c>
      <c r="Y447" s="91">
        <v>1</v>
      </c>
      <c r="Z447" s="91">
        <v>1</v>
      </c>
      <c r="AA447" s="92">
        <v>1</v>
      </c>
      <c r="AB447" s="91">
        <v>1</v>
      </c>
      <c r="AC447" s="91">
        <v>1</v>
      </c>
      <c r="AD447" s="91">
        <v>1</v>
      </c>
      <c r="AE447" s="91">
        <v>1</v>
      </c>
      <c r="AF447" s="90">
        <v>1</v>
      </c>
      <c r="AG447" s="91">
        <v>1</v>
      </c>
      <c r="AH447" s="91">
        <v>1</v>
      </c>
      <c r="AI447" s="91">
        <v>1</v>
      </c>
      <c r="AJ447" s="91">
        <v>1</v>
      </c>
      <c r="AK447" s="210">
        <f t="shared" si="78"/>
        <v>67.82531194295899</v>
      </c>
      <c r="AL447" s="146"/>
      <c r="AM447" s="94"/>
      <c r="AN447" s="95"/>
      <c r="AO447" s="91" t="str">
        <f>IF(head!$F$82="S460","a0","a")</f>
        <v>a</v>
      </c>
      <c r="AP447" s="91">
        <f t="shared" si="79"/>
        <v>0.21</v>
      </c>
      <c r="AQ447" s="96">
        <f>IF(head!F$82="S235",235,IF(head!F$82="S275",275,IF(head!F$82="S355",355,IF(head!F$82="S420",420,460))))^0.5*head!$G$70*1000/(S447*3.1416*210000^0.5)</f>
        <v>6.2152010862726188</v>
      </c>
      <c r="AR447" s="96">
        <f t="shared" si="80"/>
        <v>20.445958385460795</v>
      </c>
      <c r="AS447" s="96">
        <f t="shared" si="81"/>
        <v>2.5047358764034546E-2</v>
      </c>
      <c r="AT447" s="50">
        <f>IF(head!F$82="S235",235,IF(head!F$82="S275",275,IF(head!F$82="S355",355,IF(head!F$82="S420",420,460))))*AS447*J447/1000</f>
        <v>31.342455582866027</v>
      </c>
      <c r="AU447" s="207" t="s">
        <v>47</v>
      </c>
      <c r="AV447" s="208" t="s">
        <v>47</v>
      </c>
      <c r="AW447" s="208" t="s">
        <v>47</v>
      </c>
      <c r="AX447" s="209" t="s">
        <v>47</v>
      </c>
      <c r="AY447" s="208" t="s">
        <v>47</v>
      </c>
      <c r="AZ447" s="197">
        <v>0</v>
      </c>
      <c r="BA447" s="97" t="str">
        <f t="shared" si="82"/>
        <v>HF CHS 88,9 x 5</v>
      </c>
    </row>
    <row r="448" spans="1:53">
      <c r="A448" s="82" t="s">
        <v>562</v>
      </c>
      <c r="B448" s="83">
        <f t="shared" si="68"/>
        <v>23.018042799920309</v>
      </c>
      <c r="C448" s="84">
        <v>88.9</v>
      </c>
      <c r="D448" s="84"/>
      <c r="E448" s="125" t="s">
        <v>822</v>
      </c>
      <c r="F448" s="84"/>
      <c r="G448" s="84"/>
      <c r="H448" s="85">
        <v>10.345500227720207</v>
      </c>
      <c r="I448" s="86">
        <v>10.543184945447344</v>
      </c>
      <c r="J448" s="86">
        <v>1317.8981181809181</v>
      </c>
      <c r="K448" s="86">
        <v>0.27928758690413263</v>
      </c>
      <c r="L448" s="87">
        <v>1163738.6331793533</v>
      </c>
      <c r="M448" s="88">
        <v>26180.84664070536</v>
      </c>
      <c r="N448" s="88">
        <v>35237.716666666674</v>
      </c>
      <c r="O448" s="89">
        <v>29.715757604341846</v>
      </c>
      <c r="P448" s="88">
        <v>1163738.6331793533</v>
      </c>
      <c r="Q448" s="88">
        <v>26180.84664070536</v>
      </c>
      <c r="R448" s="88">
        <v>35237.716666666674</v>
      </c>
      <c r="S448" s="86">
        <v>29.715757604341846</v>
      </c>
      <c r="T448" s="87">
        <v>2327477.2663587066</v>
      </c>
      <c r="U448" s="119"/>
      <c r="V448" s="90">
        <v>1</v>
      </c>
      <c r="W448" s="91">
        <v>1</v>
      </c>
      <c r="X448" s="91">
        <v>1</v>
      </c>
      <c r="Y448" s="91">
        <v>1</v>
      </c>
      <c r="Z448" s="91">
        <v>1</v>
      </c>
      <c r="AA448" s="92">
        <v>1</v>
      </c>
      <c r="AB448" s="91">
        <v>1</v>
      </c>
      <c r="AC448" s="91">
        <v>1</v>
      </c>
      <c r="AD448" s="91">
        <v>1</v>
      </c>
      <c r="AE448" s="91">
        <v>1</v>
      </c>
      <c r="AF448" s="90">
        <v>1</v>
      </c>
      <c r="AG448" s="91">
        <v>1</v>
      </c>
      <c r="AH448" s="91">
        <v>1</v>
      </c>
      <c r="AI448" s="91">
        <v>1</v>
      </c>
      <c r="AJ448" s="91">
        <v>1</v>
      </c>
      <c r="AK448" s="210">
        <f t="shared" si="78"/>
        <v>211.91895113230041</v>
      </c>
      <c r="AL448" s="146"/>
      <c r="AM448" s="94"/>
      <c r="AN448" s="95"/>
      <c r="AO448" s="91" t="str">
        <f>IF(head!$F$82="S460","a0","a")</f>
        <v>a</v>
      </c>
      <c r="AP448" s="91">
        <f t="shared" si="79"/>
        <v>0.21</v>
      </c>
      <c r="AQ448" s="96">
        <f>IF(head!F$82="S235",235,IF(head!F$82="S275",275,IF(head!F$82="S355",355,IF(head!F$82="S420",420,460))))^0.5*head!$G$70*1000/(S448*3.1416*210000^0.5)</f>
        <v>4.4041979842499455</v>
      </c>
      <c r="AR448" s="96">
        <f t="shared" si="80"/>
        <v>10.639920730581885</v>
      </c>
      <c r="AS448" s="96">
        <f t="shared" si="81"/>
        <v>4.9199218276729559E-2</v>
      </c>
      <c r="AT448" s="50">
        <f>IF(head!F$82="S235",235,IF(head!F$82="S275",275,IF(head!F$82="S355",355,IF(head!F$82="S420",420,460))))*AS448*J448/1000</f>
        <v>23.018042799920309</v>
      </c>
      <c r="AU448" s="207" t="s">
        <v>47</v>
      </c>
      <c r="AV448" s="208" t="s">
        <v>47</v>
      </c>
      <c r="AW448" s="208" t="s">
        <v>47</v>
      </c>
      <c r="AX448" s="209" t="s">
        <v>47</v>
      </c>
      <c r="AY448" s="208" t="s">
        <v>47</v>
      </c>
      <c r="AZ448" s="197">
        <v>0</v>
      </c>
      <c r="BA448" s="97" t="str">
        <f t="shared" si="82"/>
        <v>HF CHS 88,9 x 5,6</v>
      </c>
    </row>
    <row r="449" spans="1:53">
      <c r="A449" s="82" t="s">
        <v>563</v>
      </c>
      <c r="B449" s="83">
        <f t="shared" si="68"/>
        <v>25.2635050159511</v>
      </c>
      <c r="C449" s="84">
        <v>88.9</v>
      </c>
      <c r="D449" s="84"/>
      <c r="E449" s="125" t="s">
        <v>823</v>
      </c>
      <c r="F449" s="84"/>
      <c r="G449" s="84"/>
      <c r="H449" s="85">
        <v>11.504097607215549</v>
      </c>
      <c r="I449" s="86">
        <v>11.723921128372533</v>
      </c>
      <c r="J449" s="86">
        <v>1465.4901410465668</v>
      </c>
      <c r="K449" s="86">
        <v>0.27928758690413263</v>
      </c>
      <c r="L449" s="87">
        <v>1276854.0819537293</v>
      </c>
      <c r="M449" s="88">
        <v>28725.626140691322</v>
      </c>
      <c r="N449" s="88">
        <v>38916.322666666689</v>
      </c>
      <c r="O449" s="89">
        <v>29.517473638507752</v>
      </c>
      <c r="P449" s="88">
        <v>1276854.0819537293</v>
      </c>
      <c r="Q449" s="88">
        <v>28725.626140691322</v>
      </c>
      <c r="R449" s="88">
        <v>38916.322666666689</v>
      </c>
      <c r="S449" s="86">
        <v>29.517473638507752</v>
      </c>
      <c r="T449" s="87">
        <v>2553708.1639074585</v>
      </c>
      <c r="U449" s="119"/>
      <c r="V449" s="90">
        <v>1</v>
      </c>
      <c r="W449" s="91">
        <v>1</v>
      </c>
      <c r="X449" s="91">
        <v>1</v>
      </c>
      <c r="Y449" s="91">
        <v>1</v>
      </c>
      <c r="Z449" s="91">
        <v>1</v>
      </c>
      <c r="AA449" s="92">
        <v>1</v>
      </c>
      <c r="AB449" s="91">
        <v>1</v>
      </c>
      <c r="AC449" s="91">
        <v>1</v>
      </c>
      <c r="AD449" s="91">
        <v>1</v>
      </c>
      <c r="AE449" s="91">
        <v>1</v>
      </c>
      <c r="AF449" s="90">
        <v>1</v>
      </c>
      <c r="AG449" s="91">
        <v>1</v>
      </c>
      <c r="AH449" s="91">
        <v>1</v>
      </c>
      <c r="AI449" s="91">
        <v>1</v>
      </c>
      <c r="AJ449" s="91">
        <v>1</v>
      </c>
      <c r="AK449" s="210">
        <f t="shared" si="78"/>
        <v>190.57623049219688</v>
      </c>
      <c r="AL449" s="146"/>
      <c r="AM449" s="94"/>
      <c r="AN449" s="95"/>
      <c r="AO449" s="91" t="str">
        <f>IF(head!$F$82="S460","a0","a")</f>
        <v>a</v>
      </c>
      <c r="AP449" s="91">
        <f t="shared" si="79"/>
        <v>0.21</v>
      </c>
      <c r="AQ449" s="96">
        <f>IF(head!F$82="S235",235,IF(head!F$82="S275",275,IF(head!F$82="S355",355,IF(head!F$82="S420",420,460))))^0.5*head!$G$70*1000/(S449*3.1416*210000^0.5)</f>
        <v>4.4337832344421013</v>
      </c>
      <c r="AR449" s="96">
        <f t="shared" si="80"/>
        <v>10.773764124626352</v>
      </c>
      <c r="AS449" s="96">
        <f t="shared" si="81"/>
        <v>4.8560410519727121E-2</v>
      </c>
      <c r="AT449" s="50">
        <f>IF(head!F$82="S235",235,IF(head!F$82="S275",275,IF(head!F$82="S355",355,IF(head!F$82="S420",420,460))))*AS449*J449/1000</f>
        <v>25.2635050159511</v>
      </c>
      <c r="AU449" s="207" t="s">
        <v>47</v>
      </c>
      <c r="AV449" s="208" t="s">
        <v>47</v>
      </c>
      <c r="AW449" s="208" t="s">
        <v>47</v>
      </c>
      <c r="AX449" s="209" t="s">
        <v>47</v>
      </c>
      <c r="AY449" s="208" t="s">
        <v>47</v>
      </c>
      <c r="AZ449" s="197">
        <v>0</v>
      </c>
      <c r="BA449" s="97" t="str">
        <f t="shared" si="82"/>
        <v>HF CHS 88,9 x 6,3</v>
      </c>
    </row>
    <row r="450" spans="1:53">
      <c r="A450" s="82" t="s">
        <v>564</v>
      </c>
      <c r="B450" s="83">
        <f t="shared" si="68"/>
        <v>27.757025482002518</v>
      </c>
      <c r="C450" s="84">
        <v>88.9</v>
      </c>
      <c r="D450" s="84"/>
      <c r="E450" s="125" t="s">
        <v>824</v>
      </c>
      <c r="F450" s="84"/>
      <c r="G450" s="84"/>
      <c r="H450" s="85">
        <v>12.83335258283919</v>
      </c>
      <c r="I450" s="86">
        <v>13.078575880600448</v>
      </c>
      <c r="J450" s="86">
        <v>1634.8219850750561</v>
      </c>
      <c r="K450" s="86">
        <v>0.27928758690413263</v>
      </c>
      <c r="L450" s="87">
        <v>1402360.5164347901</v>
      </c>
      <c r="M450" s="88">
        <v>31549.167973786054</v>
      </c>
      <c r="N450" s="88">
        <v>43066.737000000001</v>
      </c>
      <c r="O450" s="89">
        <v>29.288329587055664</v>
      </c>
      <c r="P450" s="88">
        <v>1402360.5164347901</v>
      </c>
      <c r="Q450" s="88">
        <v>31549.167973786054</v>
      </c>
      <c r="R450" s="88">
        <v>43066.737000000001</v>
      </c>
      <c r="S450" s="86">
        <v>29.288329587055664</v>
      </c>
      <c r="T450" s="87">
        <v>2804721.0328695802</v>
      </c>
      <c r="U450" s="119"/>
      <c r="V450" s="90">
        <v>1</v>
      </c>
      <c r="W450" s="91">
        <v>1</v>
      </c>
      <c r="X450" s="91">
        <v>1</v>
      </c>
      <c r="Y450" s="91">
        <v>1</v>
      </c>
      <c r="Z450" s="91">
        <v>1</v>
      </c>
      <c r="AA450" s="92">
        <v>1</v>
      </c>
      <c r="AB450" s="91">
        <v>1</v>
      </c>
      <c r="AC450" s="91">
        <v>1</v>
      </c>
      <c r="AD450" s="91">
        <v>1</v>
      </c>
      <c r="AE450" s="91">
        <v>1</v>
      </c>
      <c r="AF450" s="90">
        <v>1</v>
      </c>
      <c r="AG450" s="91">
        <v>1</v>
      </c>
      <c r="AH450" s="91">
        <v>1</v>
      </c>
      <c r="AI450" s="91">
        <v>1</v>
      </c>
      <c r="AJ450" s="91">
        <v>1</v>
      </c>
      <c r="AK450" s="210">
        <f t="shared" si="78"/>
        <v>170.83669626042513</v>
      </c>
      <c r="AL450" s="146"/>
      <c r="AM450" s="94"/>
      <c r="AN450" s="95"/>
      <c r="AO450" s="91" t="str">
        <f>IF(head!$F$82="S460","a0","a")</f>
        <v>a</v>
      </c>
      <c r="AP450" s="91">
        <f t="shared" si="79"/>
        <v>0.21</v>
      </c>
      <c r="AQ450" s="96">
        <f>IF(head!F$82="S235",235,IF(head!F$82="S275",275,IF(head!F$82="S355",355,IF(head!F$82="S420",420,460))))^0.5*head!$G$70*1000/(S450*3.1416*210000^0.5)</f>
        <v>4.4684719677336515</v>
      </c>
      <c r="AR450" s="96">
        <f t="shared" si="80"/>
        <v>10.93181041982276</v>
      </c>
      <c r="AS450" s="96">
        <f t="shared" si="81"/>
        <v>4.7827105879705463E-2</v>
      </c>
      <c r="AT450" s="50">
        <f>IF(head!F$82="S235",235,IF(head!F$82="S275",275,IF(head!F$82="S355",355,IF(head!F$82="S420",420,460))))*AS450*J450/1000</f>
        <v>27.757025482002518</v>
      </c>
      <c r="AU450" s="207" t="s">
        <v>47</v>
      </c>
      <c r="AV450" s="208" t="s">
        <v>47</v>
      </c>
      <c r="AW450" s="208" t="s">
        <v>47</v>
      </c>
      <c r="AX450" s="209" t="s">
        <v>47</v>
      </c>
      <c r="AY450" s="208" t="s">
        <v>47</v>
      </c>
      <c r="AZ450" s="197">
        <v>0</v>
      </c>
      <c r="BA450" s="97" t="str">
        <f t="shared" si="82"/>
        <v>HF CHS 88,9 x 7,1</v>
      </c>
    </row>
    <row r="451" spans="1:53">
      <c r="A451" s="82" t="s">
        <v>565</v>
      </c>
      <c r="B451" s="83">
        <f t="shared" si="68"/>
        <v>30.446164942500381</v>
      </c>
      <c r="C451" s="84">
        <v>88.9</v>
      </c>
      <c r="D451" s="84"/>
      <c r="E451" s="125" t="s">
        <v>825</v>
      </c>
      <c r="F451" s="84"/>
      <c r="G451" s="84"/>
      <c r="H451" s="85">
        <v>14.322907323612263</v>
      </c>
      <c r="I451" s="86">
        <v>14.596593450815044</v>
      </c>
      <c r="J451" s="86">
        <v>1824.5741813518807</v>
      </c>
      <c r="K451" s="86">
        <v>0.27928758690413263</v>
      </c>
      <c r="L451" s="87">
        <v>1537580.0662138637</v>
      </c>
      <c r="M451" s="88">
        <v>34591.227586363631</v>
      </c>
      <c r="N451" s="88">
        <v>47627.107666666692</v>
      </c>
      <c r="O451" s="89">
        <v>29.02940319744793</v>
      </c>
      <c r="P451" s="88">
        <v>1537580.0662138637</v>
      </c>
      <c r="Q451" s="88">
        <v>34591.227586363631</v>
      </c>
      <c r="R451" s="88">
        <v>47627.107666666692</v>
      </c>
      <c r="S451" s="86">
        <v>29.02940319744793</v>
      </c>
      <c r="T451" s="87">
        <v>3075160.1324277273</v>
      </c>
      <c r="U451" s="119"/>
      <c r="V451" s="90">
        <v>1</v>
      </c>
      <c r="W451" s="91">
        <v>1</v>
      </c>
      <c r="X451" s="91">
        <v>1</v>
      </c>
      <c r="Y451" s="91">
        <v>1</v>
      </c>
      <c r="Z451" s="91">
        <v>1</v>
      </c>
      <c r="AA451" s="92">
        <v>1</v>
      </c>
      <c r="AB451" s="91">
        <v>1</v>
      </c>
      <c r="AC451" s="91">
        <v>1</v>
      </c>
      <c r="AD451" s="91">
        <v>1</v>
      </c>
      <c r="AE451" s="91">
        <v>1</v>
      </c>
      <c r="AF451" s="90">
        <v>1</v>
      </c>
      <c r="AG451" s="91">
        <v>1</v>
      </c>
      <c r="AH451" s="91">
        <v>1</v>
      </c>
      <c r="AI451" s="91">
        <v>1</v>
      </c>
      <c r="AJ451" s="91">
        <v>1</v>
      </c>
      <c r="AK451" s="210">
        <f t="shared" si="78"/>
        <v>153.07000929784078</v>
      </c>
      <c r="AL451" s="146"/>
      <c r="AM451" s="94"/>
      <c r="AN451" s="95"/>
      <c r="AO451" s="91" t="str">
        <f>IF(head!$F$82="S460","a0","a")</f>
        <v>a</v>
      </c>
      <c r="AP451" s="91">
        <f t="shared" si="79"/>
        <v>0.21</v>
      </c>
      <c r="AQ451" s="96">
        <f>IF(head!F$82="S235",235,IF(head!F$82="S275",275,IF(head!F$82="S355",355,IF(head!F$82="S420",420,460))))^0.5*head!$G$70*1000/(S451*3.1416*210000^0.5)</f>
        <v>4.5083282922264107</v>
      </c>
      <c r="AR451" s="96">
        <f t="shared" si="80"/>
        <v>11.114886465928326</v>
      </c>
      <c r="AS451" s="96">
        <f t="shared" si="81"/>
        <v>4.7004855042345729E-2</v>
      </c>
      <c r="AT451" s="50">
        <f>IF(head!F$82="S235",235,IF(head!F$82="S275",275,IF(head!F$82="S355",355,IF(head!F$82="S420",420,460))))*AS451*J451/1000</f>
        <v>30.446164942500381</v>
      </c>
      <c r="AU451" s="207" t="s">
        <v>47</v>
      </c>
      <c r="AV451" s="208" t="s">
        <v>47</v>
      </c>
      <c r="AW451" s="208" t="s">
        <v>47</v>
      </c>
      <c r="AX451" s="209" t="s">
        <v>47</v>
      </c>
      <c r="AY451" s="208" t="s">
        <v>47</v>
      </c>
      <c r="AZ451" s="197">
        <v>0</v>
      </c>
      <c r="BA451" s="97" t="str">
        <f t="shared" si="82"/>
        <v>HF CHS 88,9 x 8</v>
      </c>
    </row>
    <row r="452" spans="1:53">
      <c r="A452" s="82" t="s">
        <v>566</v>
      </c>
      <c r="B452" s="83">
        <f t="shared" si="68"/>
        <v>33.274983091837292</v>
      </c>
      <c r="C452" s="84">
        <v>88.9</v>
      </c>
      <c r="D452" s="84"/>
      <c r="E452" s="125" t="s">
        <v>826</v>
      </c>
      <c r="F452" s="84"/>
      <c r="G452" s="84"/>
      <c r="H452" s="85">
        <v>15.960924308416018</v>
      </c>
      <c r="I452" s="86">
        <v>16.265910123226515</v>
      </c>
      <c r="J452" s="86">
        <v>2033.2387654033143</v>
      </c>
      <c r="K452" s="86">
        <v>0.27928758690413263</v>
      </c>
      <c r="L452" s="87">
        <v>1679661.0856481346</v>
      </c>
      <c r="M452" s="88">
        <v>37787.650970711678</v>
      </c>
      <c r="N452" s="88">
        <v>52529.146666666682</v>
      </c>
      <c r="O452" s="89">
        <v>28.74197714145636</v>
      </c>
      <c r="P452" s="88">
        <v>1679661.0856481346</v>
      </c>
      <c r="Q452" s="88">
        <v>37787.650970711678</v>
      </c>
      <c r="R452" s="88">
        <v>52529.146666666682</v>
      </c>
      <c r="S452" s="86">
        <v>28.74197714145636</v>
      </c>
      <c r="T452" s="87">
        <v>3359322.1712962692</v>
      </c>
      <c r="U452" s="119"/>
      <c r="V452" s="90">
        <v>1</v>
      </c>
      <c r="W452" s="91">
        <v>1</v>
      </c>
      <c r="X452" s="91">
        <v>1</v>
      </c>
      <c r="Y452" s="91">
        <v>1</v>
      </c>
      <c r="Z452" s="91">
        <v>1</v>
      </c>
      <c r="AA452" s="92">
        <v>1</v>
      </c>
      <c r="AB452" s="91">
        <v>1</v>
      </c>
      <c r="AC452" s="91">
        <v>1</v>
      </c>
      <c r="AD452" s="91">
        <v>1</v>
      </c>
      <c r="AE452" s="91">
        <v>1</v>
      </c>
      <c r="AF452" s="90">
        <v>1</v>
      </c>
      <c r="AG452" s="91">
        <v>1</v>
      </c>
      <c r="AH452" s="91">
        <v>1</v>
      </c>
      <c r="AI452" s="91">
        <v>1</v>
      </c>
      <c r="AJ452" s="91">
        <v>1</v>
      </c>
      <c r="AK452" s="210">
        <f t="shared" si="78"/>
        <v>137.36093943139679</v>
      </c>
      <c r="AL452" s="146"/>
      <c r="AM452" s="94"/>
      <c r="AN452" s="95"/>
      <c r="AO452" s="91" t="str">
        <f>IF(head!$F$82="S460","a0","a")</f>
        <v>a</v>
      </c>
      <c r="AP452" s="91">
        <f t="shared" si="79"/>
        <v>0.21</v>
      </c>
      <c r="AQ452" s="96">
        <f>IF(head!F$82="S235",235,IF(head!F$82="S275",275,IF(head!F$82="S355",355,IF(head!F$82="S420",420,460))))^0.5*head!$G$70*1000/(S452*3.1416*210000^0.5)</f>
        <v>4.5534125609171969</v>
      </c>
      <c r="AR452" s="96">
        <f t="shared" si="80"/>
        <v>11.32389129385556</v>
      </c>
      <c r="AS452" s="96">
        <f t="shared" si="81"/>
        <v>4.6100019502125236E-2</v>
      </c>
      <c r="AT452" s="50">
        <f>IF(head!F$82="S235",235,IF(head!F$82="S275",275,IF(head!F$82="S355",355,IF(head!F$82="S420",420,460))))*AS452*J452/1000</f>
        <v>33.274983091837292</v>
      </c>
      <c r="AU452" s="207" t="s">
        <v>47</v>
      </c>
      <c r="AV452" s="208" t="s">
        <v>47</v>
      </c>
      <c r="AW452" s="208" t="s">
        <v>47</v>
      </c>
      <c r="AX452" s="209" t="s">
        <v>47</v>
      </c>
      <c r="AY452" s="208" t="s">
        <v>47</v>
      </c>
      <c r="AZ452" s="197">
        <v>0</v>
      </c>
      <c r="BA452" s="97" t="str">
        <f t="shared" si="82"/>
        <v>HF CHS 88,9 x 8,8</v>
      </c>
    </row>
    <row r="453" spans="1:53">
      <c r="A453" s="82" t="s">
        <v>567</v>
      </c>
      <c r="B453" s="83">
        <f t="shared" si="68"/>
        <v>35.622386487393825</v>
      </c>
      <c r="C453" s="84">
        <v>88.9</v>
      </c>
      <c r="D453" s="84"/>
      <c r="E453" s="125" t="s">
        <v>827</v>
      </c>
      <c r="F453" s="84"/>
      <c r="G453" s="84"/>
      <c r="H453" s="85">
        <v>17.383399762849628</v>
      </c>
      <c r="I453" s="86">
        <v>17.715566637298984</v>
      </c>
      <c r="J453" s="86">
        <v>2214.4458296623729</v>
      </c>
      <c r="K453" s="86">
        <v>0.27928758690413263</v>
      </c>
      <c r="L453" s="87">
        <v>1797424.1590776425</v>
      </c>
      <c r="M453" s="88">
        <v>40436.988955627501</v>
      </c>
      <c r="N453" s="88">
        <v>56688.045333333335</v>
      </c>
      <c r="O453" s="89">
        <v>28.490020182513039</v>
      </c>
      <c r="P453" s="88">
        <v>1797424.1590776425</v>
      </c>
      <c r="Q453" s="88">
        <v>40436.988955627501</v>
      </c>
      <c r="R453" s="88">
        <v>56688.045333333335</v>
      </c>
      <c r="S453" s="86">
        <v>28.490020182513039</v>
      </c>
      <c r="T453" s="87">
        <v>3594848.318155285</v>
      </c>
      <c r="U453" s="119"/>
      <c r="V453" s="90">
        <v>1</v>
      </c>
      <c r="W453" s="91">
        <v>1</v>
      </c>
      <c r="X453" s="91">
        <v>1</v>
      </c>
      <c r="Y453" s="91">
        <v>1</v>
      </c>
      <c r="Z453" s="91">
        <v>1</v>
      </c>
      <c r="AA453" s="92">
        <v>1</v>
      </c>
      <c r="AB453" s="91">
        <v>1</v>
      </c>
      <c r="AC453" s="91">
        <v>1</v>
      </c>
      <c r="AD453" s="91">
        <v>1</v>
      </c>
      <c r="AE453" s="91">
        <v>1</v>
      </c>
      <c r="AF453" s="90">
        <v>1</v>
      </c>
      <c r="AG453" s="91">
        <v>1</v>
      </c>
      <c r="AH453" s="91">
        <v>1</v>
      </c>
      <c r="AI453" s="91">
        <v>1</v>
      </c>
      <c r="AJ453" s="91">
        <v>1</v>
      </c>
      <c r="AK453" s="210">
        <f t="shared" si="78"/>
        <v>126.12075814323011</v>
      </c>
      <c r="AL453" s="146"/>
      <c r="AM453" s="94"/>
      <c r="AN453" s="95"/>
      <c r="AO453" s="91" t="str">
        <f>IF(head!$F$82="S460","a0","a")</f>
        <v>a</v>
      </c>
      <c r="AP453" s="91">
        <f t="shared" si="79"/>
        <v>0.21</v>
      </c>
      <c r="AQ453" s="96">
        <f>IF(head!F$82="S235",235,IF(head!F$82="S275",275,IF(head!F$82="S355",355,IF(head!F$82="S420",420,460))))^0.5*head!$G$70*1000/(S453*3.1416*210000^0.5)</f>
        <v>4.5936815384157539</v>
      </c>
      <c r="AR453" s="96">
        <f t="shared" si="80"/>
        <v>11.512291599724518</v>
      </c>
      <c r="AS453" s="96">
        <f t="shared" si="81"/>
        <v>4.5313707531068448E-2</v>
      </c>
      <c r="AT453" s="50">
        <f>IF(head!F$82="S235",235,IF(head!F$82="S275",275,IF(head!F$82="S355",355,IF(head!F$82="S420",420,460))))*AS453*J453/1000</f>
        <v>35.622386487393825</v>
      </c>
      <c r="AU453" s="207" t="s">
        <v>47</v>
      </c>
      <c r="AV453" s="208" t="s">
        <v>47</v>
      </c>
      <c r="AW453" s="208" t="s">
        <v>47</v>
      </c>
      <c r="AX453" s="209" t="s">
        <v>47</v>
      </c>
      <c r="AY453" s="208" t="s">
        <v>47</v>
      </c>
      <c r="AZ453" s="197">
        <v>0</v>
      </c>
      <c r="BA453" s="97" t="str">
        <f t="shared" si="82"/>
        <v>HF CHS 88,9 x 10</v>
      </c>
    </row>
    <row r="454" spans="1:53">
      <c r="A454" s="82" t="s">
        <v>568</v>
      </c>
      <c r="B454" s="83">
        <f t="shared" si="68"/>
        <v>38.863666430859354</v>
      </c>
      <c r="C454" s="84">
        <v>88.9</v>
      </c>
      <c r="D454" s="84"/>
      <c r="E454" s="125" t="s">
        <v>828</v>
      </c>
      <c r="F454" s="84"/>
      <c r="G454" s="84"/>
      <c r="H454" s="85">
        <v>19.457925338906421</v>
      </c>
      <c r="I454" s="86">
        <v>19.829732829458774</v>
      </c>
      <c r="J454" s="86">
        <v>2478.7166036823469</v>
      </c>
      <c r="K454" s="86">
        <v>0.27928758690413263</v>
      </c>
      <c r="L454" s="87">
        <v>1959800.3810972027</v>
      </c>
      <c r="M454" s="88">
        <v>44089.997325021432</v>
      </c>
      <c r="N454" s="88">
        <v>62585.433333333349</v>
      </c>
      <c r="O454" s="89">
        <v>28.118521476066274</v>
      </c>
      <c r="P454" s="88">
        <v>1959800.3810972027</v>
      </c>
      <c r="Q454" s="88">
        <v>44089.997325021432</v>
      </c>
      <c r="R454" s="88">
        <v>62585.433333333349</v>
      </c>
      <c r="S454" s="86">
        <v>28.118521476066274</v>
      </c>
      <c r="T454" s="87">
        <v>3919600.7621944053</v>
      </c>
      <c r="U454" s="119"/>
      <c r="V454" s="90">
        <v>1</v>
      </c>
      <c r="W454" s="91">
        <v>1</v>
      </c>
      <c r="X454" s="91">
        <v>1</v>
      </c>
      <c r="Y454" s="91">
        <v>1</v>
      </c>
      <c r="Z454" s="91">
        <v>1</v>
      </c>
      <c r="AA454" s="92">
        <v>1</v>
      </c>
      <c r="AB454" s="91">
        <v>1</v>
      </c>
      <c r="AC454" s="91">
        <v>1</v>
      </c>
      <c r="AD454" s="91">
        <v>1</v>
      </c>
      <c r="AE454" s="91">
        <v>1</v>
      </c>
      <c r="AF454" s="90">
        <v>1</v>
      </c>
      <c r="AG454" s="91">
        <v>1</v>
      </c>
      <c r="AH454" s="91">
        <v>1</v>
      </c>
      <c r="AI454" s="91">
        <v>1</v>
      </c>
      <c r="AJ454" s="91">
        <v>1</v>
      </c>
      <c r="AK454" s="210">
        <f t="shared" si="78"/>
        <v>112.67427122940431</v>
      </c>
      <c r="AL454" s="146"/>
      <c r="AM454" s="94"/>
      <c r="AN454" s="95"/>
      <c r="AO454" s="91" t="str">
        <f>IF(head!$F$82="S460","a0","a")</f>
        <v>a</v>
      </c>
      <c r="AP454" s="91">
        <f t="shared" si="79"/>
        <v>0.21</v>
      </c>
      <c r="AQ454" s="96">
        <f>IF(head!F$82="S235",235,IF(head!F$82="S275",275,IF(head!F$82="S355",355,IF(head!F$82="S420",420,460))))^0.5*head!$G$70*1000/(S454*3.1416*210000^0.5)</f>
        <v>4.6543727362371747</v>
      </c>
      <c r="AR454" s="96">
        <f t="shared" si="80"/>
        <v>11.799301921218865</v>
      </c>
      <c r="AS454" s="96">
        <f t="shared" si="81"/>
        <v>4.4166048084727141E-2</v>
      </c>
      <c r="AT454" s="50">
        <f>IF(head!F$82="S235",235,IF(head!F$82="S275",275,IF(head!F$82="S355",355,IF(head!F$82="S420",420,460))))*AS454*J454/1000</f>
        <v>38.863666430859354</v>
      </c>
      <c r="AU454" s="207" t="s">
        <v>47</v>
      </c>
      <c r="AV454" s="208" t="s">
        <v>47</v>
      </c>
      <c r="AW454" s="208" t="s">
        <v>47</v>
      </c>
      <c r="AX454" s="209" t="s">
        <v>47</v>
      </c>
      <c r="AY454" s="208" t="s">
        <v>47</v>
      </c>
      <c r="AZ454" s="197">
        <v>0</v>
      </c>
      <c r="BA454" s="97" t="str">
        <f t="shared" si="82"/>
        <v>HF CHS 88,9 x 12,5</v>
      </c>
    </row>
    <row r="455" spans="1:53">
      <c r="A455" s="82" t="s">
        <v>569</v>
      </c>
      <c r="B455" s="83">
        <f t="shared" si="68"/>
        <v>44.624746294816802</v>
      </c>
      <c r="C455" s="84">
        <v>88.9</v>
      </c>
      <c r="D455" s="84"/>
      <c r="E455" s="125" t="s">
        <v>829</v>
      </c>
      <c r="F455" s="84"/>
      <c r="G455" s="84"/>
      <c r="H455" s="85">
        <v>23.551734725799282</v>
      </c>
      <c r="I455" s="86">
        <v>24.001767873426019</v>
      </c>
      <c r="J455" s="86">
        <v>3000.2209841782524</v>
      </c>
      <c r="K455" s="86">
        <v>0.27928758690413263</v>
      </c>
      <c r="L455" s="87">
        <v>2247619.3005733681</v>
      </c>
      <c r="M455" s="88">
        <v>50565.11362369782</v>
      </c>
      <c r="N455" s="88">
        <v>73613.041666666686</v>
      </c>
      <c r="O455" s="89">
        <v>27.370627504681</v>
      </c>
      <c r="P455" s="88">
        <v>2247619.3005733681</v>
      </c>
      <c r="Q455" s="88">
        <v>50565.11362369782</v>
      </c>
      <c r="R455" s="88">
        <v>73613.041666666686</v>
      </c>
      <c r="S455" s="86">
        <v>27.370627504681</v>
      </c>
      <c r="T455" s="87">
        <v>4495238.6011467362</v>
      </c>
      <c r="U455" s="119"/>
      <c r="V455" s="90">
        <v>1</v>
      </c>
      <c r="W455" s="91">
        <v>1</v>
      </c>
      <c r="X455" s="91">
        <v>1</v>
      </c>
      <c r="Y455" s="91">
        <v>1</v>
      </c>
      <c r="Z455" s="91">
        <v>1</v>
      </c>
      <c r="AA455" s="92">
        <v>1</v>
      </c>
      <c r="AB455" s="91">
        <v>1</v>
      </c>
      <c r="AC455" s="91">
        <v>1</v>
      </c>
      <c r="AD455" s="91">
        <v>1</v>
      </c>
      <c r="AE455" s="91">
        <v>1</v>
      </c>
      <c r="AF455" s="90">
        <v>1</v>
      </c>
      <c r="AG455" s="91">
        <v>1</v>
      </c>
      <c r="AH455" s="91">
        <v>1</v>
      </c>
      <c r="AI455" s="91">
        <v>1</v>
      </c>
      <c r="AJ455" s="91">
        <v>1</v>
      </c>
      <c r="AK455" s="210">
        <f t="shared" si="78"/>
        <v>93.089005235602102</v>
      </c>
      <c r="AL455" s="146"/>
      <c r="AM455" s="94"/>
      <c r="AN455" s="95"/>
      <c r="AO455" s="91" t="str">
        <f>IF(head!$F$82="S460","a0","a")</f>
        <v>a</v>
      </c>
      <c r="AP455" s="91">
        <f t="shared" si="79"/>
        <v>0.21</v>
      </c>
      <c r="AQ455" s="96">
        <f>IF(head!F$82="S235",235,IF(head!F$82="S275",275,IF(head!F$82="S355",355,IF(head!F$82="S420",420,460))))^0.5*head!$G$70*1000/(S455*3.1416*210000^0.5)</f>
        <v>4.7815520385537349</v>
      </c>
      <c r="AR455" s="96">
        <f t="shared" si="80"/>
        <v>12.412682912746831</v>
      </c>
      <c r="AS455" s="96">
        <f t="shared" si="81"/>
        <v>4.1898083958656948E-2</v>
      </c>
      <c r="AT455" s="50">
        <f>IF(head!F$82="S235",235,IF(head!F$82="S275",275,IF(head!F$82="S355",355,IF(head!F$82="S420",420,460))))*AS455*J455/1000</f>
        <v>44.624746294816802</v>
      </c>
      <c r="AU455" s="207" t="s">
        <v>47</v>
      </c>
      <c r="AV455" s="208" t="s">
        <v>47</v>
      </c>
      <c r="AW455" s="208" t="s">
        <v>47</v>
      </c>
      <c r="AX455" s="209" t="s">
        <v>47</v>
      </c>
      <c r="AY455" s="208" t="s">
        <v>47</v>
      </c>
      <c r="AZ455" s="197">
        <v>0</v>
      </c>
      <c r="BA455" s="97" t="str">
        <f t="shared" si="82"/>
        <v>HF CHS 88,9 x 16</v>
      </c>
    </row>
    <row r="456" spans="1:53">
      <c r="A456" s="82" t="s">
        <v>570</v>
      </c>
      <c r="B456" s="83">
        <f t="shared" si="68"/>
        <v>50.737602530325489</v>
      </c>
      <c r="C456" s="84">
        <v>88.9</v>
      </c>
      <c r="D456" s="84"/>
      <c r="E456" s="125" t="s">
        <v>831</v>
      </c>
      <c r="F456" s="84"/>
      <c r="G456" s="84"/>
      <c r="H456" s="85">
        <v>28.765176318505009</v>
      </c>
      <c r="I456" s="86">
        <v>29.31482936917708</v>
      </c>
      <c r="J456" s="86">
        <v>3664.3536711471352</v>
      </c>
      <c r="K456" s="86">
        <v>0.27928758690413263</v>
      </c>
      <c r="L456" s="87">
        <v>2551494.0416618395</v>
      </c>
      <c r="M456" s="88">
        <v>57401.440757296725</v>
      </c>
      <c r="N456" s="88">
        <v>86395.893333333341</v>
      </c>
      <c r="O456" s="89">
        <v>26.387520724766851</v>
      </c>
      <c r="P456" s="88">
        <v>2551494.0416618395</v>
      </c>
      <c r="Q456" s="88">
        <v>57401.440757296725</v>
      </c>
      <c r="R456" s="88">
        <v>86395.893333333341</v>
      </c>
      <c r="S456" s="86">
        <v>26.387520724766851</v>
      </c>
      <c r="T456" s="87">
        <v>5102988.0833236789</v>
      </c>
      <c r="U456" s="119"/>
      <c r="V456" s="90">
        <v>1</v>
      </c>
      <c r="W456" s="91">
        <v>1</v>
      </c>
      <c r="X456" s="91">
        <v>1</v>
      </c>
      <c r="Y456" s="91">
        <v>1</v>
      </c>
      <c r="Z456" s="91">
        <v>1</v>
      </c>
      <c r="AA456" s="92">
        <v>1</v>
      </c>
      <c r="AB456" s="91">
        <v>1</v>
      </c>
      <c r="AC456" s="91">
        <v>1</v>
      </c>
      <c r="AD456" s="91">
        <v>1</v>
      </c>
      <c r="AE456" s="91">
        <v>1</v>
      </c>
      <c r="AF456" s="90">
        <v>1</v>
      </c>
      <c r="AG456" s="91">
        <v>1</v>
      </c>
      <c r="AH456" s="91">
        <v>1</v>
      </c>
      <c r="AI456" s="91">
        <v>1</v>
      </c>
      <c r="AJ456" s="91">
        <v>1</v>
      </c>
      <c r="AK456" s="210">
        <f t="shared" si="78"/>
        <v>76.217421124828519</v>
      </c>
      <c r="AL456" s="146"/>
      <c r="AM456" s="94"/>
      <c r="AN456" s="95"/>
      <c r="AO456" s="91" t="str">
        <f>IF(head!$F$82="S460","a0","a")</f>
        <v>a</v>
      </c>
      <c r="AP456" s="91">
        <f t="shared" si="79"/>
        <v>0.21</v>
      </c>
      <c r="AQ456" s="96">
        <f>IF(head!F$82="S235",235,IF(head!F$82="S275",275,IF(head!F$82="S355",355,IF(head!F$82="S420",420,460))))^0.5*head!$G$70*1000/(S456*3.1416*210000^0.5)</f>
        <v>4.9596959527412627</v>
      </c>
      <c r="AR456" s="96">
        <f t="shared" si="80"/>
        <v>13.299060046856864</v>
      </c>
      <c r="AS456" s="96">
        <f t="shared" si="81"/>
        <v>3.9003556112623683E-2</v>
      </c>
      <c r="AT456" s="50">
        <f>IF(head!F$82="S235",235,IF(head!F$82="S275",275,IF(head!F$82="S355",355,IF(head!F$82="S420",420,460))))*AS456*J456/1000</f>
        <v>50.737602530325489</v>
      </c>
      <c r="AU456" s="207" t="s">
        <v>47</v>
      </c>
      <c r="AV456" s="208" t="s">
        <v>47</v>
      </c>
      <c r="AW456" s="208" t="s">
        <v>47</v>
      </c>
      <c r="AX456" s="209" t="s">
        <v>47</v>
      </c>
      <c r="AY456" s="208" t="s">
        <v>47</v>
      </c>
      <c r="AZ456" s="197">
        <v>0</v>
      </c>
      <c r="BA456" s="97" t="str">
        <f t="shared" si="82"/>
        <v>HF CHS 88,9 x 17,5</v>
      </c>
    </row>
    <row r="457" spans="1:53">
      <c r="A457" s="82" t="s">
        <v>571</v>
      </c>
      <c r="B457" s="83">
        <f t="shared" si="68"/>
        <v>52.764067380596821</v>
      </c>
      <c r="C457" s="84">
        <v>88.9</v>
      </c>
      <c r="D457" s="84"/>
      <c r="E457" s="125" t="s">
        <v>832</v>
      </c>
      <c r="F457" s="84"/>
      <c r="G457" s="84"/>
      <c r="H457" s="85">
        <v>30.814547162184503</v>
      </c>
      <c r="I457" s="86">
        <v>31.403360165283569</v>
      </c>
      <c r="J457" s="86">
        <v>3925.4200206604464</v>
      </c>
      <c r="K457" s="86">
        <v>0.27928758690413263</v>
      </c>
      <c r="L457" s="87">
        <v>2651724.2662316752</v>
      </c>
      <c r="M457" s="88">
        <v>59656.338947844204</v>
      </c>
      <c r="N457" s="88">
        <v>91000.75833333336</v>
      </c>
      <c r="O457" s="89">
        <v>25.990887826313291</v>
      </c>
      <c r="P457" s="88">
        <v>2651724.2662316752</v>
      </c>
      <c r="Q457" s="88">
        <v>59656.338947844204</v>
      </c>
      <c r="R457" s="88">
        <v>91000.75833333336</v>
      </c>
      <c r="S457" s="86">
        <v>25.990887826313291</v>
      </c>
      <c r="T457" s="87">
        <v>5303448.5324633503</v>
      </c>
      <c r="U457" s="119"/>
      <c r="V457" s="90">
        <v>1</v>
      </c>
      <c r="W457" s="91">
        <v>1</v>
      </c>
      <c r="X457" s="91">
        <v>1</v>
      </c>
      <c r="Y457" s="91">
        <v>1</v>
      </c>
      <c r="Z457" s="91">
        <v>1</v>
      </c>
      <c r="AA457" s="92">
        <v>1</v>
      </c>
      <c r="AB457" s="91">
        <v>1</v>
      </c>
      <c r="AC457" s="91">
        <v>1</v>
      </c>
      <c r="AD457" s="91">
        <v>1</v>
      </c>
      <c r="AE457" s="91">
        <v>1</v>
      </c>
      <c r="AF457" s="90">
        <v>1</v>
      </c>
      <c r="AG457" s="91">
        <v>1</v>
      </c>
      <c r="AH457" s="91">
        <v>1</v>
      </c>
      <c r="AI457" s="91">
        <v>1</v>
      </c>
      <c r="AJ457" s="91">
        <v>1</v>
      </c>
      <c r="AK457" s="210">
        <f t="shared" si="78"/>
        <v>71.148459383753504</v>
      </c>
      <c r="AL457" s="146"/>
      <c r="AM457" s="94"/>
      <c r="AN457" s="95"/>
      <c r="AO457" s="91" t="str">
        <f>IF(head!$F$82="S460","a0","a")</f>
        <v>a</v>
      </c>
      <c r="AP457" s="91">
        <f t="shared" si="79"/>
        <v>0.21</v>
      </c>
      <c r="AQ457" s="96">
        <f>IF(head!F$82="S235",235,IF(head!F$82="S275",275,IF(head!F$82="S355",355,IF(head!F$82="S420",420,460))))^0.5*head!$G$70*1000/(S457*3.1416*210000^0.5)</f>
        <v>5.0353831933745967</v>
      </c>
      <c r="AR457" s="96">
        <f t="shared" si="80"/>
        <v>13.685257187364009</v>
      </c>
      <c r="AS457" s="96">
        <f t="shared" si="81"/>
        <v>3.7863763606877425E-2</v>
      </c>
      <c r="AT457" s="50">
        <f>IF(head!F$82="S235",235,IF(head!F$82="S275",275,IF(head!F$82="S355",355,IF(head!F$82="S420",420,460))))*AS457*J457/1000</f>
        <v>52.764067380596821</v>
      </c>
      <c r="AU457" s="207" t="s">
        <v>47</v>
      </c>
      <c r="AV457" s="208" t="s">
        <v>47</v>
      </c>
      <c r="AW457" s="208" t="s">
        <v>47</v>
      </c>
      <c r="AX457" s="209" t="s">
        <v>47</v>
      </c>
      <c r="AY457" s="208" t="s">
        <v>47</v>
      </c>
      <c r="AZ457" s="197">
        <v>0</v>
      </c>
      <c r="BA457" s="97" t="str">
        <f t="shared" si="82"/>
        <v>HF CHS 88,9 x 20</v>
      </c>
    </row>
    <row r="458" spans="1:53">
      <c r="A458" s="82" t="s">
        <v>572</v>
      </c>
      <c r="B458" s="83">
        <f t="shared" si="68"/>
        <v>55.478278297226417</v>
      </c>
      <c r="C458" s="84">
        <v>88.9</v>
      </c>
      <c r="D458" s="84"/>
      <c r="E458" s="125" t="s">
        <v>833</v>
      </c>
      <c r="F458" s="84"/>
      <c r="G458" s="84"/>
      <c r="H458" s="85">
        <v>33.983550211676864</v>
      </c>
      <c r="I458" s="86">
        <v>34.632917413173871</v>
      </c>
      <c r="J458" s="86">
        <v>4329.1146766467346</v>
      </c>
      <c r="K458" s="86">
        <v>0.27928758690413263</v>
      </c>
      <c r="L458" s="87">
        <v>2785357.7943478557</v>
      </c>
      <c r="M458" s="88">
        <v>62662.71753313511</v>
      </c>
      <c r="N458" s="88">
        <v>97610.866666666698</v>
      </c>
      <c r="O458" s="89">
        <v>25.365355309949834</v>
      </c>
      <c r="P458" s="88">
        <v>2785357.7943478557</v>
      </c>
      <c r="Q458" s="88">
        <v>62662.71753313511</v>
      </c>
      <c r="R458" s="88">
        <v>97610.866666666698</v>
      </c>
      <c r="S458" s="86">
        <v>25.365355309949834</v>
      </c>
      <c r="T458" s="87">
        <v>5570715.5886957115</v>
      </c>
      <c r="U458" s="119"/>
      <c r="V458" s="90">
        <v>1</v>
      </c>
      <c r="W458" s="91">
        <v>1</v>
      </c>
      <c r="X458" s="91">
        <v>1</v>
      </c>
      <c r="Y458" s="91">
        <v>1</v>
      </c>
      <c r="Z458" s="91">
        <v>1</v>
      </c>
      <c r="AA458" s="92">
        <v>1</v>
      </c>
      <c r="AB458" s="91">
        <v>1</v>
      </c>
      <c r="AC458" s="91">
        <v>1</v>
      </c>
      <c r="AD458" s="91">
        <v>1</v>
      </c>
      <c r="AE458" s="91">
        <v>1</v>
      </c>
      <c r="AF458" s="90">
        <v>1</v>
      </c>
      <c r="AG458" s="91">
        <v>1</v>
      </c>
      <c r="AH458" s="91">
        <v>1</v>
      </c>
      <c r="AI458" s="91">
        <v>1</v>
      </c>
      <c r="AJ458" s="91">
        <v>1</v>
      </c>
      <c r="AK458" s="210">
        <f t="shared" si="78"/>
        <v>64.513788098693766</v>
      </c>
      <c r="AL458" s="146"/>
      <c r="AM458" s="94"/>
      <c r="AN458" s="95"/>
      <c r="AO458" s="91" t="str">
        <f>IF(head!$F$82="S460","a0","a")</f>
        <v>a</v>
      </c>
      <c r="AP458" s="91">
        <f t="shared" si="79"/>
        <v>0.21</v>
      </c>
      <c r="AQ458" s="96">
        <f>IF(head!F$82="S235",235,IF(head!F$82="S275",275,IF(head!F$82="S355",355,IF(head!F$82="S420",420,460))))^0.5*head!$G$70*1000/(S458*3.1416*210000^0.5)</f>
        <v>5.1595602798501146</v>
      </c>
      <c r="AR458" s="96">
        <f t="shared" si="80"/>
        <v>14.331284970087758</v>
      </c>
      <c r="AS458" s="96">
        <f t="shared" si="81"/>
        <v>3.609902992796829E-2</v>
      </c>
      <c r="AT458" s="50">
        <f>IF(head!F$82="S235",235,IF(head!F$82="S275",275,IF(head!F$82="S355",355,IF(head!F$82="S420",420,460))))*AS458*J458/1000</f>
        <v>55.478278297226417</v>
      </c>
      <c r="AU458" s="207" t="s">
        <v>47</v>
      </c>
      <c r="AV458" s="208" t="s">
        <v>47</v>
      </c>
      <c r="AW458" s="208" t="s">
        <v>47</v>
      </c>
      <c r="AX458" s="209" t="s">
        <v>47</v>
      </c>
      <c r="AY458" s="208" t="s">
        <v>47</v>
      </c>
      <c r="AZ458" s="197">
        <v>0</v>
      </c>
      <c r="BA458" s="97" t="str">
        <f t="shared" si="82"/>
        <v>HF CHS 101,6 x 5</v>
      </c>
    </row>
    <row r="459" spans="1:53">
      <c r="A459" s="82" t="s">
        <v>573</v>
      </c>
      <c r="B459" s="83">
        <f t="shared" si="68"/>
        <v>34.845208007486569</v>
      </c>
      <c r="C459" s="84">
        <v>101.6</v>
      </c>
      <c r="D459" s="84"/>
      <c r="E459" s="125" t="s">
        <v>822</v>
      </c>
      <c r="F459" s="84"/>
      <c r="G459" s="84"/>
      <c r="H459" s="85">
        <v>11.911505625718378</v>
      </c>
      <c r="I459" s="86">
        <v>12.139114013470959</v>
      </c>
      <c r="J459" s="86">
        <v>1517.38925168387</v>
      </c>
      <c r="K459" s="86">
        <v>0.31918581360472298</v>
      </c>
      <c r="L459" s="87">
        <v>1774692.947091904</v>
      </c>
      <c r="M459" s="88">
        <v>34934.900533305197</v>
      </c>
      <c r="N459" s="88">
        <v>46699.466666666674</v>
      </c>
      <c r="O459" s="89">
        <v>34.198976592874828</v>
      </c>
      <c r="P459" s="88">
        <v>1774692.947091904</v>
      </c>
      <c r="Q459" s="88">
        <v>34934.900533305197</v>
      </c>
      <c r="R459" s="88">
        <v>46699.466666666674</v>
      </c>
      <c r="S459" s="86">
        <v>34.198976592874828</v>
      </c>
      <c r="T459" s="87">
        <v>3549385.894183808</v>
      </c>
      <c r="U459" s="119"/>
      <c r="V459" s="90">
        <v>1</v>
      </c>
      <c r="W459" s="91">
        <v>1</v>
      </c>
      <c r="X459" s="91">
        <v>1</v>
      </c>
      <c r="Y459" s="91">
        <v>1</v>
      </c>
      <c r="Z459" s="91">
        <v>1</v>
      </c>
      <c r="AA459" s="92">
        <v>1</v>
      </c>
      <c r="AB459" s="91">
        <v>1</v>
      </c>
      <c r="AC459" s="91">
        <v>1</v>
      </c>
      <c r="AD459" s="91">
        <v>2</v>
      </c>
      <c r="AE459" s="91">
        <v>2</v>
      </c>
      <c r="AF459" s="90">
        <v>1</v>
      </c>
      <c r="AG459" s="91">
        <v>1</v>
      </c>
      <c r="AH459" s="91">
        <v>1</v>
      </c>
      <c r="AI459" s="91">
        <v>2</v>
      </c>
      <c r="AJ459" s="91">
        <v>2</v>
      </c>
      <c r="AK459" s="210">
        <f t="shared" si="78"/>
        <v>210.351966873706</v>
      </c>
      <c r="AL459" s="146"/>
      <c r="AM459" s="94"/>
      <c r="AN459" s="95"/>
      <c r="AO459" s="91" t="str">
        <f>IF(head!$F$82="S460","a0","a")</f>
        <v>a</v>
      </c>
      <c r="AP459" s="91">
        <f t="shared" si="79"/>
        <v>0.21</v>
      </c>
      <c r="AQ459" s="96">
        <f>IF(head!F$82="S235",235,IF(head!F$82="S275",275,IF(head!F$82="S355",355,IF(head!F$82="S420",420,460))))^0.5*head!$G$70*1000/(S459*3.1416*210000^0.5)</f>
        <v>3.8268419929492645</v>
      </c>
      <c r="AR459" s="96">
        <f t="shared" si="80"/>
        <v>8.2031782287596222</v>
      </c>
      <c r="AS459" s="96">
        <f t="shared" si="81"/>
        <v>6.4687103460843678E-2</v>
      </c>
      <c r="AT459" s="50">
        <f>IF(head!F$82="S235",235,IF(head!F$82="S275",275,IF(head!F$82="S355",355,IF(head!F$82="S420",420,460))))*AS459*J459/1000</f>
        <v>34.845208007486569</v>
      </c>
      <c r="AU459" s="207" t="s">
        <v>47</v>
      </c>
      <c r="AV459" s="208" t="s">
        <v>47</v>
      </c>
      <c r="AW459" s="208" t="s">
        <v>47</v>
      </c>
      <c r="AX459" s="209" t="s">
        <v>47</v>
      </c>
      <c r="AY459" s="208" t="s">
        <v>47</v>
      </c>
      <c r="AZ459" s="197">
        <v>0</v>
      </c>
      <c r="BA459" s="97" t="str">
        <f t="shared" si="82"/>
        <v>HF CHS 101,6 x 6,3</v>
      </c>
    </row>
    <row r="460" spans="1:53">
      <c r="A460" s="82" t="s">
        <v>574</v>
      </c>
      <c r="B460" s="83">
        <f t="shared" si="68"/>
        <v>42.257525535957988</v>
      </c>
      <c r="C460" s="84">
        <v>101.6</v>
      </c>
      <c r="D460" s="84"/>
      <c r="E460" s="125" t="s">
        <v>824</v>
      </c>
      <c r="F460" s="84"/>
      <c r="G460" s="84"/>
      <c r="H460" s="85">
        <v>14.806519384316887</v>
      </c>
      <c r="I460" s="86">
        <v>15.089446506310203</v>
      </c>
      <c r="J460" s="86">
        <v>1886.1808132887754</v>
      </c>
      <c r="K460" s="86">
        <v>0.31918581360472298</v>
      </c>
      <c r="L460" s="87">
        <v>2150665.8023801609</v>
      </c>
      <c r="M460" s="88">
        <v>42335.94099173545</v>
      </c>
      <c r="N460" s="88">
        <v>57300.515999999981</v>
      </c>
      <c r="O460" s="89">
        <v>33.767180812143614</v>
      </c>
      <c r="P460" s="88">
        <v>2150665.8023801609</v>
      </c>
      <c r="Q460" s="88">
        <v>42335.94099173545</v>
      </c>
      <c r="R460" s="88">
        <v>57300.515999999981</v>
      </c>
      <c r="S460" s="86">
        <v>33.767180812143614</v>
      </c>
      <c r="T460" s="87">
        <v>4301331.6047603218</v>
      </c>
      <c r="U460" s="119"/>
      <c r="V460" s="90">
        <v>1</v>
      </c>
      <c r="W460" s="91">
        <v>1</v>
      </c>
      <c r="X460" s="91">
        <v>1</v>
      </c>
      <c r="Y460" s="91">
        <v>1</v>
      </c>
      <c r="Z460" s="91">
        <v>1</v>
      </c>
      <c r="AA460" s="92">
        <v>1</v>
      </c>
      <c r="AB460" s="91">
        <v>1</v>
      </c>
      <c r="AC460" s="91">
        <v>1</v>
      </c>
      <c r="AD460" s="91">
        <v>1</v>
      </c>
      <c r="AE460" s="91">
        <v>1</v>
      </c>
      <c r="AF460" s="90">
        <v>1</v>
      </c>
      <c r="AG460" s="91">
        <v>1</v>
      </c>
      <c r="AH460" s="91">
        <v>1</v>
      </c>
      <c r="AI460" s="91">
        <v>1</v>
      </c>
      <c r="AJ460" s="91">
        <v>1</v>
      </c>
      <c r="AK460" s="210">
        <f t="shared" si="78"/>
        <v>169.22333816352707</v>
      </c>
      <c r="AL460" s="146"/>
      <c r="AM460" s="94"/>
      <c r="AN460" s="95"/>
      <c r="AO460" s="91" t="str">
        <f>IF(head!$F$82="S460","a0","a")</f>
        <v>a</v>
      </c>
      <c r="AP460" s="91">
        <f t="shared" si="79"/>
        <v>0.21</v>
      </c>
      <c r="AQ460" s="96">
        <f>IF(head!F$82="S235",235,IF(head!F$82="S275",275,IF(head!F$82="S355",355,IF(head!F$82="S420",420,460))))^0.5*head!$G$70*1000/(S460*3.1416*210000^0.5)</f>
        <v>3.8757775032980071</v>
      </c>
      <c r="AR460" s="96">
        <f t="shared" si="80"/>
        <v>8.3967822653817574</v>
      </c>
      <c r="AS460" s="96">
        <f t="shared" si="81"/>
        <v>6.3109158125900885E-2</v>
      </c>
      <c r="AT460" s="50">
        <f>IF(head!F$82="S235",235,IF(head!F$82="S275",275,IF(head!F$82="S355",355,IF(head!F$82="S420",420,460))))*AS460*J460/1000</f>
        <v>42.257525535957988</v>
      </c>
      <c r="AU460" s="207" t="s">
        <v>47</v>
      </c>
      <c r="AV460" s="208" t="s">
        <v>47</v>
      </c>
      <c r="AW460" s="208" t="s">
        <v>47</v>
      </c>
      <c r="AX460" s="209" t="s">
        <v>47</v>
      </c>
      <c r="AY460" s="208" t="s">
        <v>47</v>
      </c>
      <c r="AZ460" s="197">
        <v>0</v>
      </c>
      <c r="BA460" s="97" t="str">
        <f t="shared" si="82"/>
        <v>HF CHS 101,6 x 7,1</v>
      </c>
    </row>
    <row r="461" spans="1:53">
      <c r="A461" s="82" t="s">
        <v>575</v>
      </c>
      <c r="B461" s="83">
        <f t="shared" si="68"/>
        <v>46.513396429496105</v>
      </c>
      <c r="C461" s="84">
        <v>101.6</v>
      </c>
      <c r="D461" s="84"/>
      <c r="E461" s="125" t="s">
        <v>825</v>
      </c>
      <c r="F461" s="84"/>
      <c r="G461" s="84"/>
      <c r="H461" s="85">
        <v>16.546634988769672</v>
      </c>
      <c r="I461" s="86">
        <v>16.862812727408581</v>
      </c>
      <c r="J461" s="86">
        <v>2107.8515909260727</v>
      </c>
      <c r="K461" s="86">
        <v>0.31918581360472298</v>
      </c>
      <c r="L461" s="87">
        <v>2366237.3085707673</v>
      </c>
      <c r="M461" s="88">
        <v>46579.474578164707</v>
      </c>
      <c r="N461" s="88">
        <v>63524.078666666675</v>
      </c>
      <c r="O461" s="89">
        <v>33.504962319035663</v>
      </c>
      <c r="P461" s="88">
        <v>2366237.3085707673</v>
      </c>
      <c r="Q461" s="88">
        <v>46579.474578164707</v>
      </c>
      <c r="R461" s="88">
        <v>63524.078666666675</v>
      </c>
      <c r="S461" s="86">
        <v>33.504962319035663</v>
      </c>
      <c r="T461" s="87">
        <v>4732474.6171415346</v>
      </c>
      <c r="U461" s="119"/>
      <c r="V461" s="90">
        <v>1</v>
      </c>
      <c r="W461" s="91">
        <v>1</v>
      </c>
      <c r="X461" s="91">
        <v>1</v>
      </c>
      <c r="Y461" s="91">
        <v>1</v>
      </c>
      <c r="Z461" s="91">
        <v>1</v>
      </c>
      <c r="AA461" s="92">
        <v>1</v>
      </c>
      <c r="AB461" s="91">
        <v>1</v>
      </c>
      <c r="AC461" s="91">
        <v>1</v>
      </c>
      <c r="AD461" s="91">
        <v>1</v>
      </c>
      <c r="AE461" s="91">
        <v>1</v>
      </c>
      <c r="AF461" s="90">
        <v>1</v>
      </c>
      <c r="AG461" s="91">
        <v>1</v>
      </c>
      <c r="AH461" s="91">
        <v>1</v>
      </c>
      <c r="AI461" s="91">
        <v>1</v>
      </c>
      <c r="AJ461" s="91">
        <v>1</v>
      </c>
      <c r="AK461" s="210">
        <f t="shared" si="78"/>
        <v>151.42708100454573</v>
      </c>
      <c r="AL461" s="146"/>
      <c r="AM461" s="94"/>
      <c r="AN461" s="95"/>
      <c r="AO461" s="91" t="str">
        <f>IF(head!$F$82="S460","a0","a")</f>
        <v>a</v>
      </c>
      <c r="AP461" s="91">
        <f t="shared" si="79"/>
        <v>0.21</v>
      </c>
      <c r="AQ461" s="96">
        <f>IF(head!F$82="S235",235,IF(head!F$82="S275",275,IF(head!F$82="S355",355,IF(head!F$82="S420",420,460))))^0.5*head!$G$70*1000/(S461*3.1416*210000^0.5)</f>
        <v>3.9061103395763843</v>
      </c>
      <c r="AR461" s="96">
        <f t="shared" si="80"/>
        <v>8.5179905781282894</v>
      </c>
      <c r="AS461" s="96">
        <f t="shared" si="81"/>
        <v>6.2159808820557917E-2</v>
      </c>
      <c r="AT461" s="50">
        <f>IF(head!F$82="S235",235,IF(head!F$82="S275",275,IF(head!F$82="S355",355,IF(head!F$82="S420",420,460))))*AS461*J461/1000</f>
        <v>46.513396429496105</v>
      </c>
      <c r="AU461" s="207" t="s">
        <v>47</v>
      </c>
      <c r="AV461" s="208" t="s">
        <v>47</v>
      </c>
      <c r="AW461" s="208" t="s">
        <v>47</v>
      </c>
      <c r="AX461" s="209" t="s">
        <v>47</v>
      </c>
      <c r="AY461" s="208" t="s">
        <v>47</v>
      </c>
      <c r="AZ461" s="197">
        <v>0</v>
      </c>
      <c r="BA461" s="97" t="str">
        <f t="shared" si="82"/>
        <v>HF CHS 101,6 x 8</v>
      </c>
    </row>
    <row r="462" spans="1:53">
      <c r="A462" s="82" t="s">
        <v>576</v>
      </c>
      <c r="B462" s="83">
        <f t="shared" si="68"/>
        <v>51.034950142287592</v>
      </c>
      <c r="C462" s="84">
        <v>101.6</v>
      </c>
      <c r="D462" s="84"/>
      <c r="E462" s="125" t="s">
        <v>826</v>
      </c>
      <c r="F462" s="84"/>
      <c r="G462" s="84"/>
      <c r="H462" s="85">
        <v>18.466532945213093</v>
      </c>
      <c r="I462" s="86">
        <v>18.819396632064297</v>
      </c>
      <c r="J462" s="86">
        <v>2352.4245790080377</v>
      </c>
      <c r="K462" s="86">
        <v>0.31918581360472298</v>
      </c>
      <c r="L462" s="87">
        <v>2595006.6015953464</v>
      </c>
      <c r="M462" s="88">
        <v>51082.807118018623</v>
      </c>
      <c r="N462" s="88">
        <v>70258.346666666679</v>
      </c>
      <c r="O462" s="89">
        <v>33.213250367887809</v>
      </c>
      <c r="P462" s="88">
        <v>2595006.6015953464</v>
      </c>
      <c r="Q462" s="88">
        <v>51082.807118018623</v>
      </c>
      <c r="R462" s="88">
        <v>70258.346666666679</v>
      </c>
      <c r="S462" s="86">
        <v>33.213250367887809</v>
      </c>
      <c r="T462" s="87">
        <v>5190013.2031906927</v>
      </c>
      <c r="U462" s="119"/>
      <c r="V462" s="90">
        <v>1</v>
      </c>
      <c r="W462" s="91">
        <v>1</v>
      </c>
      <c r="X462" s="91">
        <v>1</v>
      </c>
      <c r="Y462" s="91">
        <v>1</v>
      </c>
      <c r="Z462" s="91">
        <v>1</v>
      </c>
      <c r="AA462" s="92">
        <v>1</v>
      </c>
      <c r="AB462" s="91">
        <v>1</v>
      </c>
      <c r="AC462" s="91">
        <v>1</v>
      </c>
      <c r="AD462" s="91">
        <v>1</v>
      </c>
      <c r="AE462" s="91">
        <v>1</v>
      </c>
      <c r="AF462" s="90">
        <v>1</v>
      </c>
      <c r="AG462" s="91">
        <v>1</v>
      </c>
      <c r="AH462" s="91">
        <v>1</v>
      </c>
      <c r="AI462" s="91">
        <v>1</v>
      </c>
      <c r="AJ462" s="91">
        <v>1</v>
      </c>
      <c r="AK462" s="210">
        <f t="shared" si="78"/>
        <v>135.68376068376065</v>
      </c>
      <c r="AL462" s="146"/>
      <c r="AM462" s="94"/>
      <c r="AN462" s="95"/>
      <c r="AO462" s="91" t="str">
        <f>IF(head!$F$82="S460","a0","a")</f>
        <v>a</v>
      </c>
      <c r="AP462" s="91">
        <f t="shared" si="79"/>
        <v>0.21</v>
      </c>
      <c r="AQ462" s="96">
        <f>IF(head!F$82="S235",235,IF(head!F$82="S275",275,IF(head!F$82="S355",355,IF(head!F$82="S420",420,460))))^0.5*head!$G$70*1000/(S462*3.1416*210000^0.5)</f>
        <v>3.9404177035330994</v>
      </c>
      <c r="AR462" s="96">
        <f t="shared" si="80"/>
        <v>8.6561896980295074</v>
      </c>
      <c r="AS462" s="96">
        <f t="shared" si="81"/>
        <v>6.1111597038593174E-2</v>
      </c>
      <c r="AT462" s="50">
        <f>IF(head!F$82="S235",235,IF(head!F$82="S275",275,IF(head!F$82="S355",355,IF(head!F$82="S420",420,460))))*AS462*J462/1000</f>
        <v>51.034950142287592</v>
      </c>
      <c r="AU462" s="207" t="s">
        <v>47</v>
      </c>
      <c r="AV462" s="208" t="s">
        <v>47</v>
      </c>
      <c r="AW462" s="208" t="s">
        <v>47</v>
      </c>
      <c r="AX462" s="209" t="s">
        <v>47</v>
      </c>
      <c r="AY462" s="208" t="s">
        <v>47</v>
      </c>
      <c r="AZ462" s="197">
        <v>0</v>
      </c>
      <c r="BA462" s="97" t="str">
        <f t="shared" si="82"/>
        <v>HF CHS 101,6 x 8,8</v>
      </c>
    </row>
    <row r="463" spans="1:53">
      <c r="A463" s="82" t="s">
        <v>577</v>
      </c>
      <c r="B463" s="83">
        <f t="shared" si="68"/>
        <v>54.826092055633566</v>
      </c>
      <c r="C463" s="84">
        <v>101.6</v>
      </c>
      <c r="D463" s="84"/>
      <c r="E463" s="125" t="s">
        <v>827</v>
      </c>
      <c r="F463" s="84"/>
      <c r="G463" s="84"/>
      <c r="H463" s="85">
        <v>20.139569263326408</v>
      </c>
      <c r="I463" s="86">
        <v>20.524401797020541</v>
      </c>
      <c r="J463" s="86">
        <v>2565.5502246275682</v>
      </c>
      <c r="K463" s="86">
        <v>0.31918581360472298</v>
      </c>
      <c r="L463" s="87">
        <v>2786598.0319814794</v>
      </c>
      <c r="M463" s="88">
        <v>54854.291968139354</v>
      </c>
      <c r="N463" s="88">
        <v>76011.349333333317</v>
      </c>
      <c r="O463" s="89">
        <v>32.956941605676946</v>
      </c>
      <c r="P463" s="88">
        <v>2786598.0319814794</v>
      </c>
      <c r="Q463" s="88">
        <v>54854.291968139354</v>
      </c>
      <c r="R463" s="88">
        <v>76011.349333333317</v>
      </c>
      <c r="S463" s="86">
        <v>32.956941605676946</v>
      </c>
      <c r="T463" s="87">
        <v>5573196.0639629588</v>
      </c>
      <c r="U463" s="119"/>
      <c r="V463" s="90">
        <v>1</v>
      </c>
      <c r="W463" s="91">
        <v>1</v>
      </c>
      <c r="X463" s="91">
        <v>1</v>
      </c>
      <c r="Y463" s="91">
        <v>1</v>
      </c>
      <c r="Z463" s="91">
        <v>1</v>
      </c>
      <c r="AA463" s="92">
        <v>1</v>
      </c>
      <c r="AB463" s="91">
        <v>1</v>
      </c>
      <c r="AC463" s="91">
        <v>1</v>
      </c>
      <c r="AD463" s="91">
        <v>1</v>
      </c>
      <c r="AE463" s="91">
        <v>1</v>
      </c>
      <c r="AF463" s="90">
        <v>1</v>
      </c>
      <c r="AG463" s="91">
        <v>1</v>
      </c>
      <c r="AH463" s="91">
        <v>1</v>
      </c>
      <c r="AI463" s="91">
        <v>1</v>
      </c>
      <c r="AJ463" s="91">
        <v>1</v>
      </c>
      <c r="AK463" s="210">
        <f t="shared" si="78"/>
        <v>124.41222570532916</v>
      </c>
      <c r="AL463" s="146"/>
      <c r="AM463" s="94"/>
      <c r="AN463" s="95"/>
      <c r="AO463" s="91" t="str">
        <f>IF(head!$F$82="S460","a0","a")</f>
        <v>a</v>
      </c>
      <c r="AP463" s="91">
        <f t="shared" si="79"/>
        <v>0.21</v>
      </c>
      <c r="AQ463" s="96">
        <f>IF(head!F$82="S235",235,IF(head!F$82="S275",275,IF(head!F$82="S355",355,IF(head!F$82="S420",420,460))))^0.5*head!$G$70*1000/(S463*3.1416*210000^0.5)</f>
        <v>3.9710626461455041</v>
      </c>
      <c r="AR463" s="96">
        <f t="shared" si="80"/>
        <v>8.7806308476513433</v>
      </c>
      <c r="AS463" s="96">
        <f t="shared" si="81"/>
        <v>6.0197494653912546E-2</v>
      </c>
      <c r="AT463" s="50">
        <f>IF(head!F$82="S235",235,IF(head!F$82="S275",275,IF(head!F$82="S355",355,IF(head!F$82="S420",420,460))))*AS463*J463/1000</f>
        <v>54.826092055633566</v>
      </c>
      <c r="AU463" s="207" t="s">
        <v>47</v>
      </c>
      <c r="AV463" s="208" t="s">
        <v>47</v>
      </c>
      <c r="AW463" s="208" t="s">
        <v>47</v>
      </c>
      <c r="AX463" s="209" t="s">
        <v>47</v>
      </c>
      <c r="AY463" s="208" t="s">
        <v>47</v>
      </c>
      <c r="AZ463" s="197">
        <v>0</v>
      </c>
      <c r="BA463" s="97" t="str">
        <f t="shared" si="82"/>
        <v>HF CHS 101,6 x 10</v>
      </c>
    </row>
    <row r="464" spans="1:53">
      <c r="A464" s="82" t="s">
        <v>578</v>
      </c>
      <c r="B464" s="83">
        <f t="shared" si="68"/>
        <v>60.127873763047958</v>
      </c>
      <c r="C464" s="84">
        <v>101.6</v>
      </c>
      <c r="D464" s="84"/>
      <c r="E464" s="125" t="s">
        <v>828</v>
      </c>
      <c r="F464" s="84"/>
      <c r="G464" s="84"/>
      <c r="H464" s="85">
        <v>22.589936134902764</v>
      </c>
      <c r="I464" s="86">
        <v>23.021590965506</v>
      </c>
      <c r="J464" s="86">
        <v>2877.6988706882503</v>
      </c>
      <c r="K464" s="86">
        <v>0.31918581360472298</v>
      </c>
      <c r="L464" s="87">
        <v>3054159.3654388539</v>
      </c>
      <c r="M464" s="88">
        <v>60121.247351158541</v>
      </c>
      <c r="N464" s="88">
        <v>84238.933333333334</v>
      </c>
      <c r="O464" s="89">
        <v>32.577906623968339</v>
      </c>
      <c r="P464" s="88">
        <v>3054159.3654388539</v>
      </c>
      <c r="Q464" s="88">
        <v>60121.247351158541</v>
      </c>
      <c r="R464" s="88">
        <v>84238.933333333334</v>
      </c>
      <c r="S464" s="86">
        <v>32.577906623968339</v>
      </c>
      <c r="T464" s="87">
        <v>6108318.7308777077</v>
      </c>
      <c r="U464" s="119"/>
      <c r="V464" s="90">
        <v>1</v>
      </c>
      <c r="W464" s="91">
        <v>1</v>
      </c>
      <c r="X464" s="91">
        <v>1</v>
      </c>
      <c r="Y464" s="91">
        <v>1</v>
      </c>
      <c r="Z464" s="91">
        <v>1</v>
      </c>
      <c r="AA464" s="92">
        <v>1</v>
      </c>
      <c r="AB464" s="91">
        <v>1</v>
      </c>
      <c r="AC464" s="91">
        <v>1</v>
      </c>
      <c r="AD464" s="91">
        <v>1</v>
      </c>
      <c r="AE464" s="91">
        <v>1</v>
      </c>
      <c r="AF464" s="90">
        <v>1</v>
      </c>
      <c r="AG464" s="91">
        <v>1</v>
      </c>
      <c r="AH464" s="91">
        <v>1</v>
      </c>
      <c r="AI464" s="91">
        <v>1</v>
      </c>
      <c r="AJ464" s="91">
        <v>1</v>
      </c>
      <c r="AK464" s="210">
        <f t="shared" si="78"/>
        <v>110.9170305676856</v>
      </c>
      <c r="AL464" s="146"/>
      <c r="AM464" s="94"/>
      <c r="AN464" s="95"/>
      <c r="AO464" s="91" t="str">
        <f>IF(head!$F$82="S460","a0","a")</f>
        <v>a</v>
      </c>
      <c r="AP464" s="91">
        <f t="shared" si="79"/>
        <v>0.21</v>
      </c>
      <c r="AQ464" s="96">
        <f>IF(head!F$82="S235",235,IF(head!F$82="S275",275,IF(head!F$82="S355",355,IF(head!F$82="S420",420,460))))^0.5*head!$G$70*1000/(S464*3.1416*210000^0.5)</f>
        <v>4.017264867633183</v>
      </c>
      <c r="AR464" s="96">
        <f t="shared" si="80"/>
        <v>8.9700213194614129</v>
      </c>
      <c r="AS464" s="96">
        <f t="shared" si="81"/>
        <v>5.8857545525521658E-2</v>
      </c>
      <c r="AT464" s="50">
        <f>IF(head!F$82="S235",235,IF(head!F$82="S275",275,IF(head!F$82="S355",355,IF(head!F$82="S420",420,460))))*AS464*J464/1000</f>
        <v>60.127873763047958</v>
      </c>
      <c r="AU464" s="207" t="s">
        <v>47</v>
      </c>
      <c r="AV464" s="208" t="s">
        <v>47</v>
      </c>
      <c r="AW464" s="208" t="s">
        <v>47</v>
      </c>
      <c r="AX464" s="209" t="s">
        <v>47</v>
      </c>
      <c r="AY464" s="208" t="s">
        <v>47</v>
      </c>
      <c r="AZ464" s="197">
        <v>0</v>
      </c>
      <c r="BA464" s="97" t="str">
        <f t="shared" si="82"/>
        <v>HF CHS 101,6 x 12,5</v>
      </c>
    </row>
    <row r="465" spans="1:53">
      <c r="A465" s="82" t="s">
        <v>579</v>
      </c>
      <c r="B465" s="83">
        <f t="shared" si="68"/>
        <v>69.790978819745547</v>
      </c>
      <c r="C465" s="84">
        <v>101.6</v>
      </c>
      <c r="D465" s="84"/>
      <c r="E465" s="125" t="s">
        <v>829</v>
      </c>
      <c r="F465" s="84"/>
      <c r="G465" s="84"/>
      <c r="H465" s="85">
        <v>27.46674822079471</v>
      </c>
      <c r="I465" s="86">
        <v>27.991590543485053</v>
      </c>
      <c r="J465" s="86">
        <v>3498.9488179356322</v>
      </c>
      <c r="K465" s="86">
        <v>0.31918581360472298</v>
      </c>
      <c r="L465" s="87">
        <v>3540525.0772647518</v>
      </c>
      <c r="M465" s="88">
        <v>69695.375536707725</v>
      </c>
      <c r="N465" s="88">
        <v>99886.166666666672</v>
      </c>
      <c r="O465" s="89">
        <v>31.810100597137378</v>
      </c>
      <c r="P465" s="88">
        <v>3540525.0772647518</v>
      </c>
      <c r="Q465" s="88">
        <v>69695.375536707725</v>
      </c>
      <c r="R465" s="88">
        <v>99886.166666666672</v>
      </c>
      <c r="S465" s="86">
        <v>31.810100597137378</v>
      </c>
      <c r="T465" s="87">
        <v>7081050.1545295035</v>
      </c>
      <c r="U465" s="119"/>
      <c r="V465" s="90">
        <v>1</v>
      </c>
      <c r="W465" s="91">
        <v>1</v>
      </c>
      <c r="X465" s="91">
        <v>1</v>
      </c>
      <c r="Y465" s="91">
        <v>1</v>
      </c>
      <c r="Z465" s="91">
        <v>1</v>
      </c>
      <c r="AA465" s="92">
        <v>1</v>
      </c>
      <c r="AB465" s="91">
        <v>1</v>
      </c>
      <c r="AC465" s="91">
        <v>1</v>
      </c>
      <c r="AD465" s="91">
        <v>1</v>
      </c>
      <c r="AE465" s="91">
        <v>1</v>
      </c>
      <c r="AF465" s="90">
        <v>1</v>
      </c>
      <c r="AG465" s="91">
        <v>1</v>
      </c>
      <c r="AH465" s="91">
        <v>1</v>
      </c>
      <c r="AI465" s="91">
        <v>1</v>
      </c>
      <c r="AJ465" s="91">
        <v>1</v>
      </c>
      <c r="AK465" s="210">
        <f t="shared" si="78"/>
        <v>91.223344556677887</v>
      </c>
      <c r="AL465" s="146"/>
      <c r="AM465" s="94"/>
      <c r="AN465" s="95"/>
      <c r="AO465" s="91" t="str">
        <f>IF(head!$F$82="S460","a0","a")</f>
        <v>a</v>
      </c>
      <c r="AP465" s="91">
        <f t="shared" si="79"/>
        <v>0.21</v>
      </c>
      <c r="AQ465" s="96">
        <f>IF(head!F$82="S235",235,IF(head!F$82="S275",275,IF(head!F$82="S355",355,IF(head!F$82="S420",420,460))))^0.5*head!$G$70*1000/(S465*3.1416*210000^0.5)</f>
        <v>4.1142303005882308</v>
      </c>
      <c r="AR465" s="96">
        <f t="shared" si="80"/>
        <v>9.374439664700926</v>
      </c>
      <c r="AS465" s="96">
        <f t="shared" si="81"/>
        <v>5.6186676846129026E-2</v>
      </c>
      <c r="AT465" s="50">
        <f>IF(head!F$82="S235",235,IF(head!F$82="S275",275,IF(head!F$82="S355",355,IF(head!F$82="S420",420,460))))*AS465*J465/1000</f>
        <v>69.790978819745547</v>
      </c>
      <c r="AU465" s="207" t="s">
        <v>47</v>
      </c>
      <c r="AV465" s="208" t="s">
        <v>47</v>
      </c>
      <c r="AW465" s="208" t="s">
        <v>47</v>
      </c>
      <c r="AX465" s="209" t="s">
        <v>47</v>
      </c>
      <c r="AY465" s="208" t="s">
        <v>47</v>
      </c>
      <c r="AZ465" s="197">
        <v>0</v>
      </c>
      <c r="BA465" s="97" t="str">
        <f t="shared" si="82"/>
        <v>HF CHS 101,6 x 16</v>
      </c>
    </row>
    <row r="466" spans="1:53">
      <c r="A466" s="82" t="s">
        <v>580</v>
      </c>
      <c r="B466" s="83">
        <f t="shared" si="68"/>
        <v>80.53260448445873</v>
      </c>
      <c r="C466" s="84">
        <v>101.6</v>
      </c>
      <c r="D466" s="84"/>
      <c r="E466" s="125" t="s">
        <v>831</v>
      </c>
      <c r="F466" s="84"/>
      <c r="G466" s="84"/>
      <c r="H466" s="85">
        <v>33.776393592099161</v>
      </c>
      <c r="I466" s="86">
        <v>34.421802386852647</v>
      </c>
      <c r="J466" s="86">
        <v>4302.7252983565813</v>
      </c>
      <c r="K466" s="86">
        <v>0.31918581360472298</v>
      </c>
      <c r="L466" s="87">
        <v>4078639.3648181702</v>
      </c>
      <c r="M466" s="88">
        <v>80288.176472798645</v>
      </c>
      <c r="N466" s="88">
        <v>118603.09333333335</v>
      </c>
      <c r="O466" s="89">
        <v>30.788309469667215</v>
      </c>
      <c r="P466" s="88">
        <v>4078639.3648181702</v>
      </c>
      <c r="Q466" s="88">
        <v>80288.176472798645</v>
      </c>
      <c r="R466" s="88">
        <v>118603.09333333335</v>
      </c>
      <c r="S466" s="86">
        <v>30.788309469667215</v>
      </c>
      <c r="T466" s="87">
        <v>8157278.7296363404</v>
      </c>
      <c r="U466" s="119"/>
      <c r="V466" s="90">
        <v>1</v>
      </c>
      <c r="W466" s="91">
        <v>1</v>
      </c>
      <c r="X466" s="91">
        <v>1</v>
      </c>
      <c r="Y466" s="91">
        <v>1</v>
      </c>
      <c r="Z466" s="91">
        <v>1</v>
      </c>
      <c r="AA466" s="92">
        <v>1</v>
      </c>
      <c r="AB466" s="91">
        <v>1</v>
      </c>
      <c r="AC466" s="91">
        <v>1</v>
      </c>
      <c r="AD466" s="91">
        <v>1</v>
      </c>
      <c r="AE466" s="91">
        <v>1</v>
      </c>
      <c r="AF466" s="90">
        <v>1</v>
      </c>
      <c r="AG466" s="91">
        <v>1</v>
      </c>
      <c r="AH466" s="91">
        <v>1</v>
      </c>
      <c r="AI466" s="91">
        <v>1</v>
      </c>
      <c r="AJ466" s="91">
        <v>1</v>
      </c>
      <c r="AK466" s="210">
        <f t="shared" si="78"/>
        <v>74.182242990654203</v>
      </c>
      <c r="AL466" s="146"/>
      <c r="AM466" s="94"/>
      <c r="AN466" s="95"/>
      <c r="AO466" s="91" t="str">
        <f>IF(head!$F$82="S460","a0","a")</f>
        <v>a</v>
      </c>
      <c r="AP466" s="91">
        <f t="shared" si="79"/>
        <v>0.21</v>
      </c>
      <c r="AQ466" s="96">
        <f>IF(head!F$82="S235",235,IF(head!F$82="S275",275,IF(head!F$82="S355",355,IF(head!F$82="S420",420,460))))^0.5*head!$G$70*1000/(S466*3.1416*210000^0.5)</f>
        <v>4.2507718674986075</v>
      </c>
      <c r="AR466" s="96">
        <f t="shared" si="80"/>
        <v>9.959861780846154</v>
      </c>
      <c r="AS466" s="96">
        <f t="shared" si="81"/>
        <v>5.272295842012531E-2</v>
      </c>
      <c r="AT466" s="50">
        <f>IF(head!F$82="S235",235,IF(head!F$82="S275",275,IF(head!F$82="S355",355,IF(head!F$82="S420",420,460))))*AS466*J466/1000</f>
        <v>80.53260448445873</v>
      </c>
      <c r="AU466" s="207" t="s">
        <v>47</v>
      </c>
      <c r="AV466" s="208" t="s">
        <v>47</v>
      </c>
      <c r="AW466" s="208" t="s">
        <v>47</v>
      </c>
      <c r="AX466" s="209" t="s">
        <v>47</v>
      </c>
      <c r="AY466" s="208" t="s">
        <v>47</v>
      </c>
      <c r="AZ466" s="197">
        <v>0</v>
      </c>
      <c r="BA466" s="97" t="str">
        <f t="shared" si="82"/>
        <v>HF CHS 101,6 x 17,5</v>
      </c>
    </row>
    <row r="467" spans="1:53">
      <c r="A467" s="82" t="s">
        <v>581</v>
      </c>
      <c r="B467" s="83">
        <f t="shared" si="68"/>
        <v>84.264847268727394</v>
      </c>
      <c r="C467" s="84">
        <v>101.6</v>
      </c>
      <c r="D467" s="84"/>
      <c r="E467" s="125" t="s">
        <v>832</v>
      </c>
      <c r="F467" s="84"/>
      <c r="G467" s="84"/>
      <c r="H467" s="85">
        <v>36.295566055178107</v>
      </c>
      <c r="I467" s="86">
        <v>36.989111903366222</v>
      </c>
      <c r="J467" s="86">
        <v>4623.6389879207782</v>
      </c>
      <c r="K467" s="86">
        <v>0.31918581360472298</v>
      </c>
      <c r="L467" s="87">
        <v>4264763.6887758365</v>
      </c>
      <c r="M467" s="88">
        <v>83952.041117634595</v>
      </c>
      <c r="N467" s="88">
        <v>125560.63333333335</v>
      </c>
      <c r="O467" s="89">
        <v>30.370750731583833</v>
      </c>
      <c r="P467" s="88">
        <v>4264763.6887758365</v>
      </c>
      <c r="Q467" s="88">
        <v>83952.041117634595</v>
      </c>
      <c r="R467" s="88">
        <v>125560.63333333335</v>
      </c>
      <c r="S467" s="86">
        <v>30.370750731583833</v>
      </c>
      <c r="T467" s="87">
        <v>8529527.377551673</v>
      </c>
      <c r="U467" s="119"/>
      <c r="V467" s="90">
        <v>1</v>
      </c>
      <c r="W467" s="91">
        <v>1</v>
      </c>
      <c r="X467" s="91">
        <v>1</v>
      </c>
      <c r="Y467" s="91">
        <v>1</v>
      </c>
      <c r="Z467" s="91">
        <v>1</v>
      </c>
      <c r="AA467" s="92">
        <v>1</v>
      </c>
      <c r="AB467" s="91">
        <v>1</v>
      </c>
      <c r="AC467" s="91">
        <v>1</v>
      </c>
      <c r="AD467" s="91">
        <v>1</v>
      </c>
      <c r="AE467" s="91">
        <v>1</v>
      </c>
      <c r="AF467" s="90">
        <v>1</v>
      </c>
      <c r="AG467" s="91">
        <v>1</v>
      </c>
      <c r="AH467" s="91">
        <v>1</v>
      </c>
      <c r="AI467" s="91">
        <v>1</v>
      </c>
      <c r="AJ467" s="91">
        <v>1</v>
      </c>
      <c r="AK467" s="210">
        <f t="shared" si="78"/>
        <v>69.033463563784608</v>
      </c>
      <c r="AL467" s="146"/>
      <c r="AM467" s="94"/>
      <c r="AN467" s="95"/>
      <c r="AO467" s="91" t="str">
        <f>IF(head!$F$82="S460","a0","a")</f>
        <v>a</v>
      </c>
      <c r="AP467" s="91">
        <f t="shared" si="79"/>
        <v>0.21</v>
      </c>
      <c r="AQ467" s="96">
        <f>IF(head!F$82="S235",235,IF(head!F$82="S275",275,IF(head!F$82="S355",355,IF(head!F$82="S420",420,460))))^0.5*head!$G$70*1000/(S467*3.1416*210000^0.5)</f>
        <v>4.3092145103084603</v>
      </c>
      <c r="AR467" s="96">
        <f t="shared" si="80"/>
        <v>10.216132371508879</v>
      </c>
      <c r="AS467" s="96">
        <f t="shared" si="81"/>
        <v>5.1337435205100986E-2</v>
      </c>
      <c r="AT467" s="50">
        <f>IF(head!F$82="S235",235,IF(head!F$82="S275",275,IF(head!F$82="S355",355,IF(head!F$82="S420",420,460))))*AS467*J467/1000</f>
        <v>84.264847268727394</v>
      </c>
      <c r="AU467" s="207" t="s">
        <v>47</v>
      </c>
      <c r="AV467" s="208" t="s">
        <v>47</v>
      </c>
      <c r="AW467" s="208" t="s">
        <v>47</v>
      </c>
      <c r="AX467" s="209" t="s">
        <v>47</v>
      </c>
      <c r="AY467" s="208" t="s">
        <v>47</v>
      </c>
      <c r="AZ467" s="197">
        <v>0</v>
      </c>
      <c r="BA467" s="97" t="str">
        <f t="shared" si="82"/>
        <v>HF CHS 101,6 x 20</v>
      </c>
    </row>
    <row r="468" spans="1:53">
      <c r="A468" s="82" t="s">
        <v>582</v>
      </c>
      <c r="B468" s="83">
        <f t="shared" si="68"/>
        <v>89.478243831689653</v>
      </c>
      <c r="C468" s="84">
        <v>101.6</v>
      </c>
      <c r="D468" s="84"/>
      <c r="E468" s="125" t="s">
        <v>833</v>
      </c>
      <c r="F468" s="84"/>
      <c r="G468" s="84"/>
      <c r="H468" s="85">
        <v>40.247571803669558</v>
      </c>
      <c r="I468" s="86">
        <v>41.016633685268339</v>
      </c>
      <c r="J468" s="86">
        <v>5127.0792106585423</v>
      </c>
      <c r="K468" s="86">
        <v>0.31918581360472298</v>
      </c>
      <c r="L468" s="87">
        <v>4523724.5291482452</v>
      </c>
      <c r="M468" s="88">
        <v>89049.695455674126</v>
      </c>
      <c r="N468" s="88">
        <v>135837.86666666667</v>
      </c>
      <c r="O468" s="89">
        <v>29.703871801500895</v>
      </c>
      <c r="P468" s="88">
        <v>4523724.5291482452</v>
      </c>
      <c r="Q468" s="88">
        <v>89049.695455674126</v>
      </c>
      <c r="R468" s="88">
        <v>135837.86666666667</v>
      </c>
      <c r="S468" s="86">
        <v>29.703871801500895</v>
      </c>
      <c r="T468" s="87">
        <v>9047449.0582964905</v>
      </c>
      <c r="U468" s="119"/>
      <c r="V468" s="90">
        <v>1</v>
      </c>
      <c r="W468" s="91">
        <v>1</v>
      </c>
      <c r="X468" s="91">
        <v>1</v>
      </c>
      <c r="Y468" s="91">
        <v>1</v>
      </c>
      <c r="Z468" s="91">
        <v>1</v>
      </c>
      <c r="AA468" s="92">
        <v>1</v>
      </c>
      <c r="AB468" s="91">
        <v>1</v>
      </c>
      <c r="AC468" s="91">
        <v>1</v>
      </c>
      <c r="AD468" s="91">
        <v>1</v>
      </c>
      <c r="AE468" s="91">
        <v>1</v>
      </c>
      <c r="AF468" s="90">
        <v>1</v>
      </c>
      <c r="AG468" s="91">
        <v>1</v>
      </c>
      <c r="AH468" s="91">
        <v>1</v>
      </c>
      <c r="AI468" s="91">
        <v>1</v>
      </c>
      <c r="AJ468" s="91">
        <v>1</v>
      </c>
      <c r="AK468" s="210">
        <f t="shared" si="78"/>
        <v>62.254901960784316</v>
      </c>
      <c r="AL468" s="146"/>
      <c r="AM468" s="94"/>
      <c r="AN468" s="95"/>
      <c r="AO468" s="91" t="str">
        <f>IF(head!$F$82="S460","a0","a")</f>
        <v>a</v>
      </c>
      <c r="AP468" s="91">
        <f t="shared" si="79"/>
        <v>0.21</v>
      </c>
      <c r="AQ468" s="96">
        <f>IF(head!F$82="S235",235,IF(head!F$82="S275",275,IF(head!F$82="S355",355,IF(head!F$82="S420",420,460))))^0.5*head!$G$70*1000/(S468*3.1416*210000^0.5)</f>
        <v>4.4059602942027727</v>
      </c>
      <c r="AR468" s="96">
        <f t="shared" si="80"/>
        <v>10.647868887936983</v>
      </c>
      <c r="AS468" s="96">
        <f t="shared" si="81"/>
        <v>4.9160814709318226E-2</v>
      </c>
      <c r="AT468" s="50">
        <f>IF(head!F$82="S235",235,IF(head!F$82="S275",275,IF(head!F$82="S355",355,IF(head!F$82="S420",420,460))))*AS468*J468/1000</f>
        <v>89.478243831689653</v>
      </c>
      <c r="AU468" s="207" t="s">
        <v>47</v>
      </c>
      <c r="AV468" s="208" t="s">
        <v>47</v>
      </c>
      <c r="AW468" s="208" t="s">
        <v>47</v>
      </c>
      <c r="AX468" s="209" t="s">
        <v>47</v>
      </c>
      <c r="AY468" s="208" t="s">
        <v>47</v>
      </c>
      <c r="AZ468" s="197">
        <v>0</v>
      </c>
      <c r="BA468" s="97" t="str">
        <f t="shared" si="82"/>
        <v>HF CHS 114,3 x 5</v>
      </c>
    </row>
    <row r="469" spans="1:53">
      <c r="A469" s="82" t="s">
        <v>583</v>
      </c>
      <c r="B469" s="83">
        <f t="shared" si="68"/>
        <v>50.064417903115626</v>
      </c>
      <c r="C469" s="84">
        <v>114.3</v>
      </c>
      <c r="D469" s="84"/>
      <c r="E469" s="125" t="s">
        <v>822</v>
      </c>
      <c r="F469" s="84"/>
      <c r="G469" s="84"/>
      <c r="H469" s="85">
        <v>13.477511023716552</v>
      </c>
      <c r="I469" s="86">
        <v>13.735043081494576</v>
      </c>
      <c r="J469" s="86">
        <v>1716.880385186822</v>
      </c>
      <c r="K469" s="86">
        <v>0.35908404030531338</v>
      </c>
      <c r="L469" s="87">
        <v>2569202.0453075236</v>
      </c>
      <c r="M469" s="88">
        <v>44955.416365835932</v>
      </c>
      <c r="N469" s="88">
        <v>59774.116666666654</v>
      </c>
      <c r="O469" s="89">
        <v>38.683798288172277</v>
      </c>
      <c r="P469" s="88">
        <v>2569202.0453075236</v>
      </c>
      <c r="Q469" s="88">
        <v>44955.416365835932</v>
      </c>
      <c r="R469" s="88">
        <v>59774.116666666654</v>
      </c>
      <c r="S469" s="86">
        <v>38.683798288172277</v>
      </c>
      <c r="T469" s="87">
        <v>5138404.0906150471</v>
      </c>
      <c r="U469" s="119"/>
      <c r="V469" s="90">
        <v>1</v>
      </c>
      <c r="W469" s="91">
        <v>1</v>
      </c>
      <c r="X469" s="91">
        <v>1</v>
      </c>
      <c r="Y469" s="91">
        <v>1</v>
      </c>
      <c r="Z469" s="91">
        <v>1</v>
      </c>
      <c r="AA469" s="92">
        <v>1</v>
      </c>
      <c r="AB469" s="91">
        <v>1</v>
      </c>
      <c r="AC469" s="91">
        <v>1</v>
      </c>
      <c r="AD469" s="91">
        <v>2</v>
      </c>
      <c r="AE469" s="91">
        <v>2</v>
      </c>
      <c r="AF469" s="90">
        <v>1</v>
      </c>
      <c r="AG469" s="91">
        <v>1</v>
      </c>
      <c r="AH469" s="91">
        <v>1</v>
      </c>
      <c r="AI469" s="91">
        <v>2</v>
      </c>
      <c r="AJ469" s="91">
        <v>2</v>
      </c>
      <c r="AK469" s="210">
        <f t="shared" si="78"/>
        <v>209.1491308325709</v>
      </c>
      <c r="AL469" s="146"/>
      <c r="AM469" s="94"/>
      <c r="AN469" s="95"/>
      <c r="AO469" s="91" t="str">
        <f>IF(head!$F$82="S460","a0","a")</f>
        <v>a</v>
      </c>
      <c r="AP469" s="91">
        <f t="shared" si="79"/>
        <v>0.21</v>
      </c>
      <c r="AQ469" s="96">
        <f>IF(head!F$82="S235",235,IF(head!F$82="S275",275,IF(head!F$82="S355",355,IF(head!F$82="S420",420,460))))^0.5*head!$G$70*1000/(S469*3.1416*210000^0.5)</f>
        <v>3.3831755291082057</v>
      </c>
      <c r="AR469" s="96">
        <f t="shared" si="80"/>
        <v>6.5571717609346551</v>
      </c>
      <c r="AS469" s="96">
        <f t="shared" si="81"/>
        <v>8.2141150030789881E-2</v>
      </c>
      <c r="AT469" s="50">
        <f>IF(head!F$82="S235",235,IF(head!F$82="S275",275,IF(head!F$82="S355",355,IF(head!F$82="S420",420,460))))*AS469*J469/1000</f>
        <v>50.064417903115626</v>
      </c>
      <c r="AU469" s="207" t="s">
        <v>47</v>
      </c>
      <c r="AV469" s="208" t="s">
        <v>47</v>
      </c>
      <c r="AW469" s="208" t="s">
        <v>47</v>
      </c>
      <c r="AX469" s="209" t="s">
        <v>47</v>
      </c>
      <c r="AY469" s="208" t="s">
        <v>47</v>
      </c>
      <c r="AZ469" s="197">
        <v>0</v>
      </c>
      <c r="BA469" s="97" t="str">
        <f t="shared" si="82"/>
        <v>HF CHS 114,3 x 5,6</v>
      </c>
    </row>
    <row r="470" spans="1:53">
      <c r="A470" s="82" t="s">
        <v>584</v>
      </c>
      <c r="B470" s="83">
        <f t="shared" si="68"/>
        <v>55.203774674494944</v>
      </c>
      <c r="C470" s="84">
        <v>114.3</v>
      </c>
      <c r="D470" s="84"/>
      <c r="E470" s="125" t="s">
        <v>823</v>
      </c>
      <c r="F470" s="84"/>
      <c r="G470" s="84"/>
      <c r="H470" s="85">
        <v>15.01194969873146</v>
      </c>
      <c r="I470" s="86">
        <v>15.298802240745436</v>
      </c>
      <c r="J470" s="86">
        <v>1912.3502800931797</v>
      </c>
      <c r="K470" s="86">
        <v>0.35908404030531338</v>
      </c>
      <c r="L470" s="87">
        <v>2831963.6732222377</v>
      </c>
      <c r="M470" s="88">
        <v>49553.170135122273</v>
      </c>
      <c r="N470" s="88">
        <v>66226.402666666705</v>
      </c>
      <c r="O470" s="89">
        <v>38.482219920373616</v>
      </c>
      <c r="P470" s="88">
        <v>2831963.6732222377</v>
      </c>
      <c r="Q470" s="88">
        <v>49553.170135122273</v>
      </c>
      <c r="R470" s="88">
        <v>66226.402666666705</v>
      </c>
      <c r="S470" s="86">
        <v>38.482219920373616</v>
      </c>
      <c r="T470" s="87">
        <v>5663927.3464444755</v>
      </c>
      <c r="U470" s="119"/>
      <c r="V470" s="90">
        <v>1</v>
      </c>
      <c r="W470" s="91">
        <v>1</v>
      </c>
      <c r="X470" s="91">
        <v>1</v>
      </c>
      <c r="Y470" s="91">
        <v>1</v>
      </c>
      <c r="Z470" s="91">
        <v>1</v>
      </c>
      <c r="AA470" s="92">
        <v>1</v>
      </c>
      <c r="AB470" s="91">
        <v>1</v>
      </c>
      <c r="AC470" s="91">
        <v>1</v>
      </c>
      <c r="AD470" s="91">
        <v>2</v>
      </c>
      <c r="AE470" s="91">
        <v>2</v>
      </c>
      <c r="AF470" s="90">
        <v>1</v>
      </c>
      <c r="AG470" s="91">
        <v>1</v>
      </c>
      <c r="AH470" s="91">
        <v>1</v>
      </c>
      <c r="AI470" s="91">
        <v>2</v>
      </c>
      <c r="AJ470" s="91">
        <v>2</v>
      </c>
      <c r="AK470" s="210">
        <f t="shared" si="78"/>
        <v>187.77106058614794</v>
      </c>
      <c r="AL470" s="146"/>
      <c r="AM470" s="94"/>
      <c r="AN470" s="95"/>
      <c r="AO470" s="91" t="str">
        <f>IF(head!$F$82="S460","a0","a")</f>
        <v>a</v>
      </c>
      <c r="AP470" s="91">
        <f t="shared" si="79"/>
        <v>0.21</v>
      </c>
      <c r="AQ470" s="96">
        <f>IF(head!F$82="S235",235,IF(head!F$82="S275",275,IF(head!F$82="S355",355,IF(head!F$82="S420",420,460))))^0.5*head!$G$70*1000/(S470*3.1416*210000^0.5)</f>
        <v>3.4008973497969581</v>
      </c>
      <c r="AR470" s="96">
        <f t="shared" si="80"/>
        <v>6.6191456136566673</v>
      </c>
      <c r="AS470" s="96">
        <f t="shared" si="81"/>
        <v>8.1315432769358126E-2</v>
      </c>
      <c r="AT470" s="50">
        <f>IF(head!F$82="S235",235,IF(head!F$82="S275",275,IF(head!F$82="S355",355,IF(head!F$82="S420",420,460))))*AS470*J470/1000</f>
        <v>55.203774674494944</v>
      </c>
      <c r="AU470" s="207" t="s">
        <v>47</v>
      </c>
      <c r="AV470" s="208" t="s">
        <v>47</v>
      </c>
      <c r="AW470" s="208" t="s">
        <v>47</v>
      </c>
      <c r="AX470" s="209" t="s">
        <v>47</v>
      </c>
      <c r="AY470" s="208" t="s">
        <v>47</v>
      </c>
      <c r="AZ470" s="197">
        <v>0</v>
      </c>
      <c r="BA470" s="97" t="str">
        <f t="shared" si="82"/>
        <v>HF CHS 114,3 x 6,3</v>
      </c>
    </row>
    <row r="471" spans="1:53">
      <c r="A471" s="82" t="s">
        <v>585</v>
      </c>
      <c r="B471" s="83">
        <f t="shared" si="68"/>
        <v>60.98201928632168</v>
      </c>
      <c r="C471" s="84">
        <v>114.3</v>
      </c>
      <c r="D471" s="84"/>
      <c r="E471" s="125">
        <v>6.3</v>
      </c>
      <c r="F471" s="84"/>
      <c r="G471" s="84"/>
      <c r="H471" s="85">
        <v>16.779686185794581</v>
      </c>
      <c r="I471" s="86">
        <v>17.100317132019956</v>
      </c>
      <c r="J471" s="86">
        <v>2137.5396415024943</v>
      </c>
      <c r="K471" s="86">
        <v>0.35908404030531338</v>
      </c>
      <c r="L471" s="87">
        <v>3127137.6658570403</v>
      </c>
      <c r="M471" s="88">
        <v>54718.069393823971</v>
      </c>
      <c r="N471" s="88">
        <v>73566.54899999997</v>
      </c>
      <c r="O471" s="89">
        <v>38.248676447689007</v>
      </c>
      <c r="P471" s="88">
        <v>3127137.6658570403</v>
      </c>
      <c r="Q471" s="88">
        <v>54718.069393823971</v>
      </c>
      <c r="R471" s="88">
        <v>73566.54899999997</v>
      </c>
      <c r="S471" s="86">
        <v>38.248676447689007</v>
      </c>
      <c r="T471" s="87">
        <v>6254275.3317140806</v>
      </c>
      <c r="U471" s="119"/>
      <c r="V471" s="90">
        <v>1</v>
      </c>
      <c r="W471" s="91">
        <v>1</v>
      </c>
      <c r="X471" s="91">
        <v>1</v>
      </c>
      <c r="Y471" s="91">
        <v>1</v>
      </c>
      <c r="Z471" s="91">
        <v>1</v>
      </c>
      <c r="AA471" s="92">
        <v>1</v>
      </c>
      <c r="AB471" s="91">
        <v>1</v>
      </c>
      <c r="AC471" s="91">
        <v>1</v>
      </c>
      <c r="AD471" s="91">
        <v>1</v>
      </c>
      <c r="AE471" s="91">
        <v>1</v>
      </c>
      <c r="AF471" s="90">
        <v>1</v>
      </c>
      <c r="AG471" s="91">
        <v>1</v>
      </c>
      <c r="AH471" s="91">
        <v>1</v>
      </c>
      <c r="AI471" s="91">
        <v>1</v>
      </c>
      <c r="AJ471" s="91">
        <v>1</v>
      </c>
      <c r="AK471" s="210">
        <f t="shared" si="78"/>
        <v>167.98941798941806</v>
      </c>
      <c r="AL471" s="146"/>
      <c r="AM471" s="94"/>
      <c r="AN471" s="95"/>
      <c r="AO471" s="91" t="str">
        <f>IF(head!$F$82="S460","a0","a")</f>
        <v>a</v>
      </c>
      <c r="AP471" s="91">
        <f t="shared" si="79"/>
        <v>0.21</v>
      </c>
      <c r="AQ471" s="96">
        <f>IF(head!F$82="S235",235,IF(head!F$82="S275",275,IF(head!F$82="S355",355,IF(head!F$82="S420",420,460))))^0.5*head!$G$70*1000/(S471*3.1416*210000^0.5)</f>
        <v>3.4216629670962067</v>
      </c>
      <c r="AR471" s="96">
        <f t="shared" si="80"/>
        <v>6.6921633417439104</v>
      </c>
      <c r="AS471" s="96">
        <f t="shared" si="81"/>
        <v>8.0363579080602099E-2</v>
      </c>
      <c r="AT471" s="50">
        <f>IF(head!F$82="S235",235,IF(head!F$82="S275",275,IF(head!F$82="S355",355,IF(head!F$82="S420",420,460))))*AS471*J471/1000</f>
        <v>60.98201928632168</v>
      </c>
      <c r="AU471" s="207" t="s">
        <v>47</v>
      </c>
      <c r="AV471" s="208" t="s">
        <v>47</v>
      </c>
      <c r="AW471" s="208" t="s">
        <v>47</v>
      </c>
      <c r="AX471" s="209" t="s">
        <v>47</v>
      </c>
      <c r="AY471" s="208" t="s">
        <v>47</v>
      </c>
      <c r="AZ471" s="197">
        <v>0</v>
      </c>
      <c r="BA471" s="97" t="str">
        <f t="shared" si="82"/>
        <v>HF CHS 114,3 x 7,1</v>
      </c>
    </row>
    <row r="472" spans="1:53">
      <c r="A472" s="82" t="s">
        <v>586</v>
      </c>
      <c r="B472" s="83">
        <f t="shared" si="68"/>
        <v>67.306158908121176</v>
      </c>
      <c r="C472" s="84">
        <v>114.3</v>
      </c>
      <c r="D472" s="84"/>
      <c r="E472" s="125" t="s">
        <v>825</v>
      </c>
      <c r="F472" s="84"/>
      <c r="G472" s="84"/>
      <c r="H472" s="85">
        <v>18.770362653927073</v>
      </c>
      <c r="I472" s="86">
        <v>19.129032004002113</v>
      </c>
      <c r="J472" s="86">
        <v>2391.1290005002643</v>
      </c>
      <c r="K472" s="86">
        <v>0.35908404030531338</v>
      </c>
      <c r="L472" s="87">
        <v>3449876.0882530222</v>
      </c>
      <c r="M472" s="88">
        <v>60365.285883692428</v>
      </c>
      <c r="N472" s="88">
        <v>81711.367666666687</v>
      </c>
      <c r="O472" s="89">
        <v>37.983960430687056</v>
      </c>
      <c r="P472" s="88">
        <v>3449876.0882530222</v>
      </c>
      <c r="Q472" s="88">
        <v>60365.285883692428</v>
      </c>
      <c r="R472" s="88">
        <v>81711.367666666687</v>
      </c>
      <c r="S472" s="86">
        <v>37.983960430687056</v>
      </c>
      <c r="T472" s="87">
        <v>6899752.1765060443</v>
      </c>
      <c r="U472" s="119"/>
      <c r="V472" s="90">
        <v>1</v>
      </c>
      <c r="W472" s="91">
        <v>1</v>
      </c>
      <c r="X472" s="91">
        <v>1</v>
      </c>
      <c r="Y472" s="91">
        <v>1</v>
      </c>
      <c r="Z472" s="91">
        <v>1</v>
      </c>
      <c r="AA472" s="92">
        <v>1</v>
      </c>
      <c r="AB472" s="91">
        <v>1</v>
      </c>
      <c r="AC472" s="91">
        <v>1</v>
      </c>
      <c r="AD472" s="91">
        <v>1</v>
      </c>
      <c r="AE472" s="91">
        <v>1</v>
      </c>
      <c r="AF472" s="90">
        <v>1</v>
      </c>
      <c r="AG472" s="91">
        <v>1</v>
      </c>
      <c r="AH472" s="91">
        <v>1</v>
      </c>
      <c r="AI472" s="91">
        <v>1</v>
      </c>
      <c r="AJ472" s="91">
        <v>1</v>
      </c>
      <c r="AK472" s="210">
        <f t="shared" si="78"/>
        <v>150.1734286314904</v>
      </c>
      <c r="AL472" s="146"/>
      <c r="AM472" s="94"/>
      <c r="AN472" s="95"/>
      <c r="AO472" s="91" t="str">
        <f>IF(head!$F$82="S460","a0","a")</f>
        <v>a</v>
      </c>
      <c r="AP472" s="91">
        <f t="shared" si="79"/>
        <v>0.21</v>
      </c>
      <c r="AQ472" s="96">
        <f>IF(head!F$82="S235",235,IF(head!F$82="S275",275,IF(head!F$82="S355",355,IF(head!F$82="S420",420,460))))^0.5*head!$G$70*1000/(S472*3.1416*210000^0.5)</f>
        <v>3.4455090584964334</v>
      </c>
      <c r="AR472" s="96">
        <f t="shared" si="80"/>
        <v>6.7765447872326154</v>
      </c>
      <c r="AS472" s="96">
        <f t="shared" si="81"/>
        <v>7.9290918133662805E-2</v>
      </c>
      <c r="AT472" s="50">
        <f>IF(head!F$82="S235",235,IF(head!F$82="S275",275,IF(head!F$82="S355",355,IF(head!F$82="S420",420,460))))*AS472*J472/1000</f>
        <v>67.306158908121176</v>
      </c>
      <c r="AU472" s="207" t="s">
        <v>47</v>
      </c>
      <c r="AV472" s="208" t="s">
        <v>47</v>
      </c>
      <c r="AW472" s="208" t="s">
        <v>47</v>
      </c>
      <c r="AX472" s="209" t="s">
        <v>47</v>
      </c>
      <c r="AY472" s="208" t="s">
        <v>47</v>
      </c>
      <c r="AZ472" s="197">
        <v>0</v>
      </c>
      <c r="BA472" s="97" t="str">
        <f t="shared" si="82"/>
        <v>HF CHS 114,3 x 8</v>
      </c>
    </row>
    <row r="473" spans="1:53">
      <c r="A473" s="82" t="s">
        <v>587</v>
      </c>
      <c r="B473" s="83">
        <f t="shared" si="68"/>
        <v>74.075111138600306</v>
      </c>
      <c r="C473" s="84">
        <v>114.3</v>
      </c>
      <c r="D473" s="84"/>
      <c r="E473" s="125">
        <v>8</v>
      </c>
      <c r="F473" s="84"/>
      <c r="G473" s="84"/>
      <c r="H473" s="85">
        <v>20.972141582010167</v>
      </c>
      <c r="I473" s="86">
        <v>21.372883140902079</v>
      </c>
      <c r="J473" s="86">
        <v>2671.6103926127603</v>
      </c>
      <c r="K473" s="86">
        <v>0.35908404030531338</v>
      </c>
      <c r="L473" s="87">
        <v>3794919.0378037128</v>
      </c>
      <c r="M473" s="88">
        <v>66402.78281371326</v>
      </c>
      <c r="N473" s="88">
        <v>90568.186666666661</v>
      </c>
      <c r="O473" s="89">
        <v>37.689007017962155</v>
      </c>
      <c r="P473" s="88">
        <v>3794919.0378037128</v>
      </c>
      <c r="Q473" s="88">
        <v>66402.78281371326</v>
      </c>
      <c r="R473" s="88">
        <v>90568.186666666661</v>
      </c>
      <c r="S473" s="86">
        <v>37.689007017962155</v>
      </c>
      <c r="T473" s="87">
        <v>7589838.0756074255</v>
      </c>
      <c r="U473" s="119"/>
      <c r="V473" s="90">
        <v>1</v>
      </c>
      <c r="W473" s="91">
        <v>1</v>
      </c>
      <c r="X473" s="91">
        <v>1</v>
      </c>
      <c r="Y473" s="91">
        <v>1</v>
      </c>
      <c r="Z473" s="91">
        <v>1</v>
      </c>
      <c r="AA473" s="92">
        <v>1</v>
      </c>
      <c r="AB473" s="91">
        <v>1</v>
      </c>
      <c r="AC473" s="91">
        <v>1</v>
      </c>
      <c r="AD473" s="91">
        <v>1</v>
      </c>
      <c r="AE473" s="91">
        <v>1</v>
      </c>
      <c r="AF473" s="90">
        <v>1</v>
      </c>
      <c r="AG473" s="91">
        <v>1</v>
      </c>
      <c r="AH473" s="91">
        <v>1</v>
      </c>
      <c r="AI473" s="91">
        <v>1</v>
      </c>
      <c r="AJ473" s="91">
        <v>1</v>
      </c>
      <c r="AK473" s="210">
        <f t="shared" si="78"/>
        <v>134.40733772342426</v>
      </c>
      <c r="AL473" s="146"/>
      <c r="AM473" s="94"/>
      <c r="AN473" s="95"/>
      <c r="AO473" s="91" t="str">
        <f>IF(head!$F$82="S460","a0","a")</f>
        <v>a</v>
      </c>
      <c r="AP473" s="91">
        <f t="shared" si="79"/>
        <v>0.21</v>
      </c>
      <c r="AQ473" s="96">
        <f>IF(head!F$82="S235",235,IF(head!F$82="S275",275,IF(head!F$82="S355",355,IF(head!F$82="S420",420,460))))^0.5*head!$G$70*1000/(S473*3.1416*210000^0.5)</f>
        <v>3.4724735432570362</v>
      </c>
      <c r="AR473" s="96">
        <f t="shared" si="80"/>
        <v>6.8726459763520262</v>
      </c>
      <c r="AS473" s="96">
        <f t="shared" si="81"/>
        <v>7.8103560861432247E-2</v>
      </c>
      <c r="AT473" s="50">
        <f>IF(head!F$82="S235",235,IF(head!F$82="S275",275,IF(head!F$82="S355",355,IF(head!F$82="S420",420,460))))*AS473*J473/1000</f>
        <v>74.075111138600306</v>
      </c>
      <c r="AU473" s="207" t="s">
        <v>47</v>
      </c>
      <c r="AV473" s="208" t="s">
        <v>47</v>
      </c>
      <c r="AW473" s="208" t="s">
        <v>47</v>
      </c>
      <c r="AX473" s="209" t="s">
        <v>47</v>
      </c>
      <c r="AY473" s="208" t="s">
        <v>47</v>
      </c>
      <c r="AZ473" s="197">
        <v>0</v>
      </c>
      <c r="BA473" s="97" t="str">
        <f t="shared" si="82"/>
        <v>HF CHS 114,3 x 10</v>
      </c>
    </row>
    <row r="474" spans="1:53">
      <c r="A474" s="82" t="s">
        <v>588</v>
      </c>
      <c r="B474" s="83">
        <f t="shared" si="68"/>
        <v>87.868288924875628</v>
      </c>
      <c r="C474" s="84">
        <v>114.3</v>
      </c>
      <c r="D474" s="84"/>
      <c r="E474" s="125" t="s">
        <v>828</v>
      </c>
      <c r="F474" s="84"/>
      <c r="G474" s="84"/>
      <c r="H474" s="85">
        <v>25.721946930899108</v>
      </c>
      <c r="I474" s="86">
        <v>26.21344910155323</v>
      </c>
      <c r="J474" s="86">
        <v>3276.6811376941541</v>
      </c>
      <c r="K474" s="86">
        <v>0.35908404030531338</v>
      </c>
      <c r="L474" s="87">
        <v>4496626.3879204867</v>
      </c>
      <c r="M474" s="88">
        <v>78681.12664777755</v>
      </c>
      <c r="N474" s="88">
        <v>109118.23333333334</v>
      </c>
      <c r="O474" s="89">
        <v>37.044719596725251</v>
      </c>
      <c r="P474" s="88">
        <v>4496626.3879204867</v>
      </c>
      <c r="Q474" s="88">
        <v>78681.12664777755</v>
      </c>
      <c r="R474" s="88">
        <v>109118.23333333334</v>
      </c>
      <c r="S474" s="86">
        <v>37.044719596725251</v>
      </c>
      <c r="T474" s="87">
        <v>8993252.7758409735</v>
      </c>
      <c r="U474" s="119"/>
      <c r="V474" s="90">
        <v>1</v>
      </c>
      <c r="W474" s="91">
        <v>1</v>
      </c>
      <c r="X474" s="91">
        <v>1</v>
      </c>
      <c r="Y474" s="91">
        <v>1</v>
      </c>
      <c r="Z474" s="91">
        <v>1</v>
      </c>
      <c r="AA474" s="92">
        <v>1</v>
      </c>
      <c r="AB474" s="91">
        <v>1</v>
      </c>
      <c r="AC474" s="91">
        <v>1</v>
      </c>
      <c r="AD474" s="91">
        <v>1</v>
      </c>
      <c r="AE474" s="91">
        <v>1</v>
      </c>
      <c r="AF474" s="90">
        <v>1</v>
      </c>
      <c r="AG474" s="91">
        <v>1</v>
      </c>
      <c r="AH474" s="91">
        <v>1</v>
      </c>
      <c r="AI474" s="91">
        <v>1</v>
      </c>
      <c r="AJ474" s="91">
        <v>1</v>
      </c>
      <c r="AK474" s="210">
        <f t="shared" si="78"/>
        <v>109.58772770853308</v>
      </c>
      <c r="AL474" s="146"/>
      <c r="AM474" s="94"/>
      <c r="AN474" s="95"/>
      <c r="AO474" s="91" t="str">
        <f>IF(head!$F$82="S460","a0","a")</f>
        <v>a</v>
      </c>
      <c r="AP474" s="91">
        <f t="shared" si="79"/>
        <v>0.21</v>
      </c>
      <c r="AQ474" s="96">
        <f>IF(head!F$82="S235",235,IF(head!F$82="S275",275,IF(head!F$82="S355",355,IF(head!F$82="S420",420,460))))^0.5*head!$G$70*1000/(S474*3.1416*210000^0.5)</f>
        <v>3.5328673334882414</v>
      </c>
      <c r="AR474" s="96">
        <f t="shared" si="80"/>
        <v>7.0905268680304241</v>
      </c>
      <c r="AS474" s="96">
        <f t="shared" si="81"/>
        <v>7.5538722392993127E-2</v>
      </c>
      <c r="AT474" s="50">
        <f>IF(head!F$82="S235",235,IF(head!F$82="S275",275,IF(head!F$82="S355",355,IF(head!F$82="S420",420,460))))*AS474*J474/1000</f>
        <v>87.868288924875628</v>
      </c>
      <c r="AU474" s="207" t="s">
        <v>47</v>
      </c>
      <c r="AV474" s="208" t="s">
        <v>47</v>
      </c>
      <c r="AW474" s="208" t="s">
        <v>47</v>
      </c>
      <c r="AX474" s="209" t="s">
        <v>47</v>
      </c>
      <c r="AY474" s="208" t="s">
        <v>47</v>
      </c>
      <c r="AZ474" s="197">
        <v>0</v>
      </c>
      <c r="BA474" s="97" t="str">
        <f t="shared" si="82"/>
        <v>HF CHS 114,3 x 12,5</v>
      </c>
    </row>
    <row r="475" spans="1:53">
      <c r="A475" s="82" t="s">
        <v>589</v>
      </c>
      <c r="B475" s="83">
        <f t="shared" ref="B475:B538" si="83">AT475</f>
        <v>102.85665774210433</v>
      </c>
      <c r="C475" s="84">
        <v>114.3</v>
      </c>
      <c r="D475" s="84"/>
      <c r="E475" s="125" t="s">
        <v>829</v>
      </c>
      <c r="F475" s="84"/>
      <c r="G475" s="84"/>
      <c r="H475" s="85">
        <v>31.381761715790141</v>
      </c>
      <c r="I475" s="86">
        <v>31.981413213544094</v>
      </c>
      <c r="J475" s="86">
        <v>3997.6766516930115</v>
      </c>
      <c r="K475" s="86">
        <v>0.35908404030531338</v>
      </c>
      <c r="L475" s="87">
        <v>5256689.945089764</v>
      </c>
      <c r="M475" s="88">
        <v>91980.576467012492</v>
      </c>
      <c r="N475" s="88">
        <v>130191.54166666667</v>
      </c>
      <c r="O475" s="89">
        <v>36.262049721437421</v>
      </c>
      <c r="P475" s="88">
        <v>5256689.945089764</v>
      </c>
      <c r="Q475" s="88">
        <v>91980.576467012492</v>
      </c>
      <c r="R475" s="88">
        <v>130191.54166666667</v>
      </c>
      <c r="S475" s="86">
        <v>36.262049721437421</v>
      </c>
      <c r="T475" s="87">
        <v>10513379.890179528</v>
      </c>
      <c r="U475" s="119"/>
      <c r="V475" s="90">
        <v>1</v>
      </c>
      <c r="W475" s="91">
        <v>1</v>
      </c>
      <c r="X475" s="91">
        <v>1</v>
      </c>
      <c r="Y475" s="91">
        <v>1</v>
      </c>
      <c r="Z475" s="91">
        <v>1</v>
      </c>
      <c r="AA475" s="92">
        <v>1</v>
      </c>
      <c r="AB475" s="91">
        <v>1</v>
      </c>
      <c r="AC475" s="91">
        <v>1</v>
      </c>
      <c r="AD475" s="91">
        <v>1</v>
      </c>
      <c r="AE475" s="91">
        <v>1</v>
      </c>
      <c r="AF475" s="90">
        <v>1</v>
      </c>
      <c r="AG475" s="91">
        <v>1</v>
      </c>
      <c r="AH475" s="91">
        <v>1</v>
      </c>
      <c r="AI475" s="91">
        <v>1</v>
      </c>
      <c r="AJ475" s="91">
        <v>1</v>
      </c>
      <c r="AK475" s="210">
        <f t="shared" si="78"/>
        <v>89.823182711198442</v>
      </c>
      <c r="AL475" s="146"/>
      <c r="AM475" s="94"/>
      <c r="AN475" s="95"/>
      <c r="AO475" s="91" t="str">
        <f>IF(head!$F$82="S460","a0","a")</f>
        <v>a</v>
      </c>
      <c r="AP475" s="91">
        <f t="shared" si="79"/>
        <v>0.21</v>
      </c>
      <c r="AQ475" s="96">
        <f>IF(head!F$82="S235",235,IF(head!F$82="S275",275,IF(head!F$82="S355",355,IF(head!F$82="S420",420,460))))^0.5*head!$G$70*1000/(S475*3.1416*210000^0.5)</f>
        <v>3.6091197476940238</v>
      </c>
      <c r="AR475" s="96">
        <f t="shared" si="80"/>
        <v>7.3708302501053593</v>
      </c>
      <c r="AS475" s="96">
        <f t="shared" si="81"/>
        <v>7.2476362974369726E-2</v>
      </c>
      <c r="AT475" s="50">
        <f>IF(head!F$82="S235",235,IF(head!F$82="S275",275,IF(head!F$82="S355",355,IF(head!F$82="S420",420,460))))*AS475*J475/1000</f>
        <v>102.85665774210433</v>
      </c>
      <c r="AU475" s="207" t="s">
        <v>47</v>
      </c>
      <c r="AV475" s="208" t="s">
        <v>47</v>
      </c>
      <c r="AW475" s="208" t="s">
        <v>47</v>
      </c>
      <c r="AX475" s="209" t="s">
        <v>47</v>
      </c>
      <c r="AY475" s="208" t="s">
        <v>47</v>
      </c>
      <c r="AZ475" s="197">
        <v>0</v>
      </c>
      <c r="BA475" s="97" t="str">
        <f t="shared" si="82"/>
        <v>HF CHS 114,3 x 14,2</v>
      </c>
    </row>
    <row r="476" spans="1:53">
      <c r="A476" s="82" t="s">
        <v>590</v>
      </c>
      <c r="B476" s="83">
        <f t="shared" si="83"/>
        <v>111.73808637112069</v>
      </c>
      <c r="C476" s="84">
        <v>114.3</v>
      </c>
      <c r="D476" s="84"/>
      <c r="E476" s="125" t="s">
        <v>830</v>
      </c>
      <c r="F476" s="84"/>
      <c r="G476" s="84"/>
      <c r="H476" s="85">
        <v>35.054352642874981</v>
      </c>
      <c r="I476" s="86">
        <v>35.724181037324819</v>
      </c>
      <c r="J476" s="86">
        <v>4465.5226296656028</v>
      </c>
      <c r="K476" s="86">
        <v>0.35908404030531338</v>
      </c>
      <c r="L476" s="87">
        <v>5705626.1734401751</v>
      </c>
      <c r="M476" s="88">
        <v>99835.978537885836</v>
      </c>
      <c r="N476" s="88">
        <v>143238.57133333333</v>
      </c>
      <c r="O476" s="89">
        <v>35.745017135259559</v>
      </c>
      <c r="P476" s="88">
        <v>5705626.1734401751</v>
      </c>
      <c r="Q476" s="88">
        <v>99835.978537885836</v>
      </c>
      <c r="R476" s="88">
        <v>143238.57133333333</v>
      </c>
      <c r="S476" s="86">
        <v>35.745017135259559</v>
      </c>
      <c r="T476" s="87">
        <v>11411252.34688035</v>
      </c>
      <c r="U476" s="119"/>
      <c r="V476" s="90">
        <v>1</v>
      </c>
      <c r="W476" s="91">
        <v>1</v>
      </c>
      <c r="X476" s="91">
        <v>1</v>
      </c>
      <c r="Y476" s="91">
        <v>1</v>
      </c>
      <c r="Z476" s="91">
        <v>1</v>
      </c>
      <c r="AA476" s="92">
        <v>1</v>
      </c>
      <c r="AB476" s="91">
        <v>1</v>
      </c>
      <c r="AC476" s="91">
        <v>1</v>
      </c>
      <c r="AD476" s="91">
        <v>1</v>
      </c>
      <c r="AE476" s="91">
        <v>1</v>
      </c>
      <c r="AF476" s="90">
        <v>1</v>
      </c>
      <c r="AG476" s="91">
        <v>1</v>
      </c>
      <c r="AH476" s="91">
        <v>1</v>
      </c>
      <c r="AI476" s="91">
        <v>1</v>
      </c>
      <c r="AJ476" s="91">
        <v>1</v>
      </c>
      <c r="AK476" s="210">
        <f t="shared" si="78"/>
        <v>80.412545201277609</v>
      </c>
      <c r="AL476" s="146"/>
      <c r="AM476" s="94"/>
      <c r="AN476" s="95"/>
      <c r="AO476" s="91" t="str">
        <f>IF(head!$F$82="S460","a0","a")</f>
        <v>a</v>
      </c>
      <c r="AP476" s="91">
        <f t="shared" si="79"/>
        <v>0.21</v>
      </c>
      <c r="AQ476" s="96">
        <f>IF(head!F$82="S235",235,IF(head!F$82="S275",275,IF(head!F$82="S355",355,IF(head!F$82="S420",420,460))))^0.5*head!$G$70*1000/(S476*3.1416*210000^0.5)</f>
        <v>3.6613237376911396</v>
      </c>
      <c r="AR476" s="96">
        <f t="shared" si="80"/>
        <v>7.5660847485478779</v>
      </c>
      <c r="AS476" s="96">
        <f t="shared" si="81"/>
        <v>7.0485629338299091E-2</v>
      </c>
      <c r="AT476" s="50">
        <f>IF(head!F$82="S235",235,IF(head!F$82="S275",275,IF(head!F$82="S355",355,IF(head!F$82="S420",420,460))))*AS476*J476/1000</f>
        <v>111.73808637112069</v>
      </c>
      <c r="AU476" s="207" t="s">
        <v>47</v>
      </c>
      <c r="AV476" s="208" t="s">
        <v>47</v>
      </c>
      <c r="AW476" s="208" t="s">
        <v>47</v>
      </c>
      <c r="AX476" s="209" t="s">
        <v>47</v>
      </c>
      <c r="AY476" s="208" t="s">
        <v>47</v>
      </c>
      <c r="AZ476" s="197">
        <v>0</v>
      </c>
      <c r="BA476" s="97" t="str">
        <f t="shared" si="82"/>
        <v>HF CHS 114,3 x 16</v>
      </c>
    </row>
    <row r="477" spans="1:53">
      <c r="A477" s="82" t="s">
        <v>591</v>
      </c>
      <c r="B477" s="83">
        <f t="shared" si="83"/>
        <v>120.08333630277096</v>
      </c>
      <c r="C477" s="84">
        <v>114.3</v>
      </c>
      <c r="D477" s="84"/>
      <c r="E477" s="125" t="s">
        <v>831</v>
      </c>
      <c r="F477" s="84"/>
      <c r="G477" s="84"/>
      <c r="H477" s="85">
        <v>38.78761086569331</v>
      </c>
      <c r="I477" s="86">
        <v>39.528775404528211</v>
      </c>
      <c r="J477" s="86">
        <v>4941.0969255660266</v>
      </c>
      <c r="K477" s="86">
        <v>0.35908404030531338</v>
      </c>
      <c r="L477" s="87">
        <v>6126274.610503451</v>
      </c>
      <c r="M477" s="88">
        <v>107196.40613304377</v>
      </c>
      <c r="N477" s="88">
        <v>155971.5733333333</v>
      </c>
      <c r="O477" s="89">
        <v>35.211663550590735</v>
      </c>
      <c r="P477" s="88">
        <v>6126274.610503451</v>
      </c>
      <c r="Q477" s="88">
        <v>107196.40613304377</v>
      </c>
      <c r="R477" s="88">
        <v>155971.5733333333</v>
      </c>
      <c r="S477" s="86">
        <v>35.211663550590735</v>
      </c>
      <c r="T477" s="87">
        <v>12252549.221006902</v>
      </c>
      <c r="U477" s="119"/>
      <c r="V477" s="90">
        <v>1</v>
      </c>
      <c r="W477" s="91">
        <v>1</v>
      </c>
      <c r="X477" s="91">
        <v>1</v>
      </c>
      <c r="Y477" s="91">
        <v>1</v>
      </c>
      <c r="Z477" s="91">
        <v>1</v>
      </c>
      <c r="AA477" s="92">
        <v>1</v>
      </c>
      <c r="AB477" s="91">
        <v>1</v>
      </c>
      <c r="AC477" s="91">
        <v>1</v>
      </c>
      <c r="AD477" s="91">
        <v>1</v>
      </c>
      <c r="AE477" s="91">
        <v>1</v>
      </c>
      <c r="AF477" s="90">
        <v>1</v>
      </c>
      <c r="AG477" s="91">
        <v>1</v>
      </c>
      <c r="AH477" s="91">
        <v>1</v>
      </c>
      <c r="AI477" s="91">
        <v>1</v>
      </c>
      <c r="AJ477" s="91">
        <v>1</v>
      </c>
      <c r="AK477" s="210">
        <f t="shared" si="78"/>
        <v>72.672939979654132</v>
      </c>
      <c r="AL477" s="146"/>
      <c r="AM477" s="94"/>
      <c r="AN477" s="95"/>
      <c r="AO477" s="91" t="str">
        <f>IF(head!$F$82="S460","a0","a")</f>
        <v>a</v>
      </c>
      <c r="AP477" s="91">
        <f t="shared" si="79"/>
        <v>0.21</v>
      </c>
      <c r="AQ477" s="96">
        <f>IF(head!F$82="S235",235,IF(head!F$82="S275",275,IF(head!F$82="S355",355,IF(head!F$82="S420",420,460))))^0.5*head!$G$70*1000/(S477*3.1416*210000^0.5)</f>
        <v>3.7167820700509537</v>
      </c>
      <c r="AR477" s="96">
        <f t="shared" si="80"/>
        <v>7.7764965954814764</v>
      </c>
      <c r="AS477" s="96">
        <f t="shared" si="81"/>
        <v>6.8459073816688074E-2</v>
      </c>
      <c r="AT477" s="50">
        <f>IF(head!F$82="S235",235,IF(head!F$82="S275",275,IF(head!F$82="S355",355,IF(head!F$82="S420",420,460))))*AS477*J477/1000</f>
        <v>120.08333630277096</v>
      </c>
      <c r="AU477" s="207" t="s">
        <v>47</v>
      </c>
      <c r="AV477" s="208" t="s">
        <v>47</v>
      </c>
      <c r="AW477" s="208" t="s">
        <v>47</v>
      </c>
      <c r="AX477" s="209" t="s">
        <v>47</v>
      </c>
      <c r="AY477" s="208" t="s">
        <v>47</v>
      </c>
      <c r="AZ477" s="197">
        <v>0</v>
      </c>
      <c r="BA477" s="97" t="str">
        <f t="shared" si="82"/>
        <v>HF CHS 114,3 x 17,5</v>
      </c>
    </row>
    <row r="478" spans="1:53">
      <c r="A478" s="82" t="s">
        <v>592</v>
      </c>
      <c r="B478" s="83">
        <f t="shared" si="83"/>
        <v>126.2675124615632</v>
      </c>
      <c r="C478" s="84">
        <v>114.3</v>
      </c>
      <c r="D478" s="84"/>
      <c r="E478" s="125" t="s">
        <v>832</v>
      </c>
      <c r="F478" s="84"/>
      <c r="G478" s="84"/>
      <c r="H478" s="85">
        <v>41.77658494817171</v>
      </c>
      <c r="I478" s="86">
        <v>42.574863641448879</v>
      </c>
      <c r="J478" s="86">
        <v>5321.8579551811099</v>
      </c>
      <c r="K478" s="86">
        <v>0.35908404030531338</v>
      </c>
      <c r="L478" s="87">
        <v>6437113.1605913062</v>
      </c>
      <c r="M478" s="88">
        <v>112635.40088523721</v>
      </c>
      <c r="N478" s="88">
        <v>165765.65833333333</v>
      </c>
      <c r="O478" s="89">
        <v>34.778747102217466</v>
      </c>
      <c r="P478" s="88">
        <v>6437113.1605913062</v>
      </c>
      <c r="Q478" s="88">
        <v>112635.40088523721</v>
      </c>
      <c r="R478" s="88">
        <v>165765.65833333333</v>
      </c>
      <c r="S478" s="86">
        <v>34.778747102217466</v>
      </c>
      <c r="T478" s="87">
        <v>12874226.321182612</v>
      </c>
      <c r="U478" s="119"/>
      <c r="V478" s="90">
        <v>1</v>
      </c>
      <c r="W478" s="91">
        <v>1</v>
      </c>
      <c r="X478" s="91">
        <v>1</v>
      </c>
      <c r="Y478" s="91">
        <v>1</v>
      </c>
      <c r="Z478" s="91">
        <v>1</v>
      </c>
      <c r="AA478" s="92">
        <v>1</v>
      </c>
      <c r="AB478" s="91">
        <v>1</v>
      </c>
      <c r="AC478" s="91">
        <v>1</v>
      </c>
      <c r="AD478" s="91">
        <v>1</v>
      </c>
      <c r="AE478" s="91">
        <v>1</v>
      </c>
      <c r="AF478" s="90">
        <v>1</v>
      </c>
      <c r="AG478" s="91">
        <v>1</v>
      </c>
      <c r="AH478" s="91">
        <v>1</v>
      </c>
      <c r="AI478" s="91">
        <v>1</v>
      </c>
      <c r="AJ478" s="91">
        <v>1</v>
      </c>
      <c r="AK478" s="210">
        <f t="shared" si="78"/>
        <v>67.473435655253837</v>
      </c>
      <c r="AL478" s="146"/>
      <c r="AM478" s="94"/>
      <c r="AN478" s="95"/>
      <c r="AO478" s="91" t="str">
        <f>IF(head!$F$82="S460","a0","a")</f>
        <v>a</v>
      </c>
      <c r="AP478" s="91">
        <f t="shared" si="79"/>
        <v>0.21</v>
      </c>
      <c r="AQ478" s="96">
        <f>IF(head!F$82="S235",235,IF(head!F$82="S275",275,IF(head!F$82="S355",355,IF(head!F$82="S420",420,460))))^0.5*head!$G$70*1000/(S478*3.1416*210000^0.5)</f>
        <v>3.7630475691620853</v>
      </c>
      <c r="AR478" s="96">
        <f t="shared" si="80"/>
        <v>7.9543834986503583</v>
      </c>
      <c r="AS478" s="96">
        <f t="shared" si="81"/>
        <v>6.6834390675209188E-2</v>
      </c>
      <c r="AT478" s="50">
        <f>IF(head!F$82="S235",235,IF(head!F$82="S275",275,IF(head!F$82="S355",355,IF(head!F$82="S420",420,460))))*AS478*J478/1000</f>
        <v>126.2675124615632</v>
      </c>
      <c r="AU478" s="207" t="s">
        <v>47</v>
      </c>
      <c r="AV478" s="208" t="s">
        <v>47</v>
      </c>
      <c r="AW478" s="208" t="s">
        <v>47</v>
      </c>
      <c r="AX478" s="209" t="s">
        <v>47</v>
      </c>
      <c r="AY478" s="208" t="s">
        <v>47</v>
      </c>
      <c r="AZ478" s="197">
        <v>0</v>
      </c>
      <c r="BA478" s="97" t="str">
        <f t="shared" si="82"/>
        <v>HF CHS 114,3 x 20</v>
      </c>
    </row>
    <row r="479" spans="1:53">
      <c r="A479" s="82" t="s">
        <v>593</v>
      </c>
      <c r="B479" s="83">
        <f t="shared" si="83"/>
        <v>135.15688054885652</v>
      </c>
      <c r="C479" s="84">
        <v>114.3</v>
      </c>
      <c r="D479" s="84"/>
      <c r="E479" s="125" t="s">
        <v>833</v>
      </c>
      <c r="F479" s="84"/>
      <c r="G479" s="84"/>
      <c r="H479" s="85">
        <v>46.511593395662246</v>
      </c>
      <c r="I479" s="86">
        <v>47.400349957362799</v>
      </c>
      <c r="J479" s="86">
        <v>5925.04374467035</v>
      </c>
      <c r="K479" s="86">
        <v>0.35908404030531338</v>
      </c>
      <c r="L479" s="87">
        <v>6882301.2183639714</v>
      </c>
      <c r="M479" s="88">
        <v>120425.21816909839</v>
      </c>
      <c r="N479" s="88">
        <v>180516.46666666667</v>
      </c>
      <c r="O479" s="89">
        <v>34.081684964215015</v>
      </c>
      <c r="P479" s="88">
        <v>6882301.2183639714</v>
      </c>
      <c r="Q479" s="88">
        <v>120425.21816909839</v>
      </c>
      <c r="R479" s="88">
        <v>180516.46666666667</v>
      </c>
      <c r="S479" s="86">
        <v>34.081684964215015</v>
      </c>
      <c r="T479" s="87">
        <v>13764602.436727943</v>
      </c>
      <c r="U479" s="119"/>
      <c r="V479" s="90">
        <v>1</v>
      </c>
      <c r="W479" s="91">
        <v>1</v>
      </c>
      <c r="X479" s="91">
        <v>1</v>
      </c>
      <c r="Y479" s="91">
        <v>1</v>
      </c>
      <c r="Z479" s="91">
        <v>1</v>
      </c>
      <c r="AA479" s="92">
        <v>1</v>
      </c>
      <c r="AB479" s="91">
        <v>1</v>
      </c>
      <c r="AC479" s="91">
        <v>1</v>
      </c>
      <c r="AD479" s="91">
        <v>1</v>
      </c>
      <c r="AE479" s="91">
        <v>1</v>
      </c>
      <c r="AF479" s="90">
        <v>1</v>
      </c>
      <c r="AG479" s="91">
        <v>1</v>
      </c>
      <c r="AH479" s="91">
        <v>1</v>
      </c>
      <c r="AI479" s="91">
        <v>1</v>
      </c>
      <c r="AJ479" s="91">
        <v>1</v>
      </c>
      <c r="AK479" s="210">
        <f t="shared" si="78"/>
        <v>60.604453870625662</v>
      </c>
      <c r="AL479" s="146"/>
      <c r="AM479" s="94"/>
      <c r="AN479" s="95"/>
      <c r="AO479" s="91" t="str">
        <f>IF(head!$F$82="S460","a0","a")</f>
        <v>a</v>
      </c>
      <c r="AP479" s="91">
        <f t="shared" si="79"/>
        <v>0.21</v>
      </c>
      <c r="AQ479" s="96">
        <f>IF(head!F$82="S235",235,IF(head!F$82="S275",275,IF(head!F$82="S355",355,IF(head!F$82="S420",420,460))))^0.5*head!$G$70*1000/(S479*3.1416*210000^0.5)</f>
        <v>3.8400120146324079</v>
      </c>
      <c r="AR479" s="96">
        <f t="shared" si="80"/>
        <v>8.2550473977970249</v>
      </c>
      <c r="AS479" s="96">
        <f t="shared" si="81"/>
        <v>6.4256674479803308E-2</v>
      </c>
      <c r="AT479" s="50">
        <f>IF(head!F$82="S235",235,IF(head!F$82="S275",275,IF(head!F$82="S355",355,IF(head!F$82="S420",420,460))))*AS479*J479/1000</f>
        <v>135.15688054885652</v>
      </c>
      <c r="AU479" s="207" t="s">
        <v>47</v>
      </c>
      <c r="AV479" s="208" t="s">
        <v>47</v>
      </c>
      <c r="AW479" s="208" t="s">
        <v>47</v>
      </c>
      <c r="AX479" s="209" t="s">
        <v>47</v>
      </c>
      <c r="AY479" s="208" t="s">
        <v>47</v>
      </c>
      <c r="AZ479" s="197">
        <v>0</v>
      </c>
      <c r="BA479" s="97" t="str">
        <f t="shared" si="82"/>
        <v>HF CHS 121 x 5</v>
      </c>
    </row>
    <row r="480" spans="1:53">
      <c r="A480" s="82" t="s">
        <v>594</v>
      </c>
      <c r="B480" s="83">
        <f t="shared" si="83"/>
        <v>59.588068383692082</v>
      </c>
      <c r="C480" s="84">
        <v>121</v>
      </c>
      <c r="D480" s="84"/>
      <c r="E480" s="125">
        <v>5</v>
      </c>
      <c r="F480" s="84"/>
      <c r="G480" s="84"/>
      <c r="H480" s="85">
        <v>14.303671351794328</v>
      </c>
      <c r="I480" s="86">
        <v>14.576989912656641</v>
      </c>
      <c r="J480" s="86">
        <v>1822.12373908208</v>
      </c>
      <c r="K480" s="86">
        <v>0.38013271108436497</v>
      </c>
      <c r="L480" s="87">
        <v>3070506.26582069</v>
      </c>
      <c r="M480" s="88">
        <v>50752.169682986612</v>
      </c>
      <c r="N480" s="88">
        <v>67321.666666666672</v>
      </c>
      <c r="O480" s="89">
        <v>41.050274055114421</v>
      </c>
      <c r="P480" s="88">
        <v>3070506.26582069</v>
      </c>
      <c r="Q480" s="88">
        <v>50752.169682986612</v>
      </c>
      <c r="R480" s="88">
        <v>67321.666666666672</v>
      </c>
      <c r="S480" s="86">
        <v>41.050274055114421</v>
      </c>
      <c r="T480" s="87">
        <v>6141012.5316413799</v>
      </c>
      <c r="U480" s="119"/>
      <c r="V480" s="90">
        <v>1</v>
      </c>
      <c r="W480" s="91">
        <v>1</v>
      </c>
      <c r="X480" s="91">
        <v>1</v>
      </c>
      <c r="Y480" s="91">
        <v>1</v>
      </c>
      <c r="Z480" s="91">
        <v>1</v>
      </c>
      <c r="AA480" s="92">
        <v>1</v>
      </c>
      <c r="AB480" s="91">
        <v>1</v>
      </c>
      <c r="AC480" s="91">
        <v>2</v>
      </c>
      <c r="AD480" s="91">
        <v>2</v>
      </c>
      <c r="AE480" s="91">
        <v>2</v>
      </c>
      <c r="AF480" s="90">
        <v>1</v>
      </c>
      <c r="AG480" s="91">
        <v>1</v>
      </c>
      <c r="AH480" s="91">
        <v>2</v>
      </c>
      <c r="AI480" s="91">
        <v>2</v>
      </c>
      <c r="AJ480" s="91">
        <v>2</v>
      </c>
      <c r="AK480" s="210">
        <f t="shared" si="78"/>
        <v>208.62068965517241</v>
      </c>
      <c r="AL480" s="146"/>
      <c r="AM480" s="94"/>
      <c r="AN480" s="95"/>
      <c r="AO480" s="91" t="str">
        <f>IF(head!$F$82="S460","a0","a")</f>
        <v>a</v>
      </c>
      <c r="AP480" s="91">
        <f t="shared" si="79"/>
        <v>0.21</v>
      </c>
      <c r="AQ480" s="96">
        <f>IF(head!F$82="S235",235,IF(head!F$82="S275",275,IF(head!F$82="S355",355,IF(head!F$82="S420",420,460))))^0.5*head!$G$70*1000/(S480*3.1416*210000^0.5)</f>
        <v>3.1881414376379018</v>
      </c>
      <c r="AR480" s="96">
        <f t="shared" si="80"/>
        <v>5.8958777641439131</v>
      </c>
      <c r="AS480" s="96">
        <f t="shared" si="81"/>
        <v>9.2119821588756493E-2</v>
      </c>
      <c r="AT480" s="50">
        <f>IF(head!F$82="S235",235,IF(head!F$82="S275",275,IF(head!F$82="S355",355,IF(head!F$82="S420",420,460))))*AS480*J480/1000</f>
        <v>59.588068383692082</v>
      </c>
      <c r="AU480" s="207" t="s">
        <v>47</v>
      </c>
      <c r="AV480" s="208" t="s">
        <v>47</v>
      </c>
      <c r="AW480" s="208" t="s">
        <v>47</v>
      </c>
      <c r="AX480" s="209" t="s">
        <v>47</v>
      </c>
      <c r="AY480" s="208" t="s">
        <v>47</v>
      </c>
      <c r="AZ480" s="197">
        <v>0</v>
      </c>
      <c r="BA480" s="97" t="str">
        <f t="shared" si="82"/>
        <v>HF CHS 121 x 5,6</v>
      </c>
    </row>
    <row r="481" spans="1:53">
      <c r="A481" s="82" t="s">
        <v>595</v>
      </c>
      <c r="B481" s="83">
        <f t="shared" si="83"/>
        <v>65.764233440974181</v>
      </c>
      <c r="C481" s="84">
        <v>121</v>
      </c>
      <c r="D481" s="84"/>
      <c r="E481" s="125" t="s">
        <v>823</v>
      </c>
      <c r="F481" s="84"/>
      <c r="G481" s="84"/>
      <c r="H481" s="85">
        <v>15.937249266178569</v>
      </c>
      <c r="I481" s="86">
        <v>16.24178269164695</v>
      </c>
      <c r="J481" s="86">
        <v>2030.2228364558687</v>
      </c>
      <c r="K481" s="86">
        <v>0.38013271108436497</v>
      </c>
      <c r="L481" s="87">
        <v>3387558.7671109857</v>
      </c>
      <c r="M481" s="88">
        <v>55992.706894396455</v>
      </c>
      <c r="N481" s="88">
        <v>74634.634666666694</v>
      </c>
      <c r="O481" s="89">
        <v>40.848072169932323</v>
      </c>
      <c r="P481" s="88">
        <v>3387558.7671109857</v>
      </c>
      <c r="Q481" s="88">
        <v>55992.706894396455</v>
      </c>
      <c r="R481" s="88">
        <v>74634.634666666694</v>
      </c>
      <c r="S481" s="86">
        <v>40.848072169932323</v>
      </c>
      <c r="T481" s="87">
        <v>6775117.5342219714</v>
      </c>
      <c r="U481" s="119"/>
      <c r="V481" s="90">
        <v>1</v>
      </c>
      <c r="W481" s="91">
        <v>1</v>
      </c>
      <c r="X481" s="91">
        <v>1</v>
      </c>
      <c r="Y481" s="91">
        <v>1</v>
      </c>
      <c r="Z481" s="91">
        <v>1</v>
      </c>
      <c r="AA481" s="92">
        <v>1</v>
      </c>
      <c r="AB481" s="91">
        <v>1</v>
      </c>
      <c r="AC481" s="91">
        <v>1</v>
      </c>
      <c r="AD481" s="91">
        <v>2</v>
      </c>
      <c r="AE481" s="91">
        <v>2</v>
      </c>
      <c r="AF481" s="90">
        <v>1</v>
      </c>
      <c r="AG481" s="91">
        <v>1</v>
      </c>
      <c r="AH481" s="91">
        <v>1</v>
      </c>
      <c r="AI481" s="91">
        <v>2</v>
      </c>
      <c r="AJ481" s="91">
        <v>2</v>
      </c>
      <c r="AK481" s="210">
        <f t="shared" si="78"/>
        <v>187.23693983659314</v>
      </c>
      <c r="AL481" s="146"/>
      <c r="AM481" s="94"/>
      <c r="AN481" s="95"/>
      <c r="AO481" s="91" t="str">
        <f>IF(head!$F$82="S460","a0","a")</f>
        <v>a</v>
      </c>
      <c r="AP481" s="91">
        <f t="shared" si="79"/>
        <v>0.21</v>
      </c>
      <c r="AQ481" s="96">
        <f>IF(head!F$82="S235",235,IF(head!F$82="S275",275,IF(head!F$82="S355",355,IF(head!F$82="S420",420,460))))^0.5*head!$G$70*1000/(S481*3.1416*210000^0.5)</f>
        <v>3.2039230443251343</v>
      </c>
      <c r="AR481" s="96">
        <f t="shared" si="80"/>
        <v>5.9479733566329571</v>
      </c>
      <c r="AS481" s="96">
        <f t="shared" si="81"/>
        <v>9.1246812162231294E-2</v>
      </c>
      <c r="AT481" s="50">
        <f>IF(head!F$82="S235",235,IF(head!F$82="S275",275,IF(head!F$82="S355",355,IF(head!F$82="S420",420,460))))*AS481*J481/1000</f>
        <v>65.764233440974181</v>
      </c>
      <c r="AU481" s="207" t="s">
        <v>47</v>
      </c>
      <c r="AV481" s="208" t="s">
        <v>47</v>
      </c>
      <c r="AW481" s="208" t="s">
        <v>47</v>
      </c>
      <c r="AX481" s="209" t="s">
        <v>47</v>
      </c>
      <c r="AY481" s="208" t="s">
        <v>47</v>
      </c>
      <c r="AZ481" s="197">
        <v>0</v>
      </c>
      <c r="BA481" s="97" t="str">
        <f t="shared" si="82"/>
        <v>HF CHS 121 x 6,3</v>
      </c>
    </row>
    <row r="482" spans="1:53">
      <c r="A482" s="82" t="s">
        <v>596</v>
      </c>
      <c r="B482" s="83">
        <f t="shared" si="83"/>
        <v>72.72430116474014</v>
      </c>
      <c r="C482" s="84">
        <v>121</v>
      </c>
      <c r="D482" s="84"/>
      <c r="E482" s="125">
        <v>6.3</v>
      </c>
      <c r="F482" s="84"/>
      <c r="G482" s="84"/>
      <c r="H482" s="85">
        <v>17.820648199172574</v>
      </c>
      <c r="I482" s="86">
        <v>18.161170139284152</v>
      </c>
      <c r="J482" s="86">
        <v>2270.1462674105192</v>
      </c>
      <c r="K482" s="86">
        <v>0.38013271108436497</v>
      </c>
      <c r="L482" s="87">
        <v>3744543.839071298</v>
      </c>
      <c r="M482" s="88">
        <v>61893.286596219798</v>
      </c>
      <c r="N482" s="88">
        <v>82966.715999999971</v>
      </c>
      <c r="O482" s="89">
        <v>40.613698427993484</v>
      </c>
      <c r="P482" s="88">
        <v>3744543.839071298</v>
      </c>
      <c r="Q482" s="88">
        <v>61893.286596219798</v>
      </c>
      <c r="R482" s="88">
        <v>82966.715999999971</v>
      </c>
      <c r="S482" s="86">
        <v>40.613698427993484</v>
      </c>
      <c r="T482" s="87">
        <v>7489087.678142596</v>
      </c>
      <c r="U482" s="119"/>
      <c r="V482" s="90">
        <v>1</v>
      </c>
      <c r="W482" s="91">
        <v>1</v>
      </c>
      <c r="X482" s="91">
        <v>1</v>
      </c>
      <c r="Y482" s="91">
        <v>1</v>
      </c>
      <c r="Z482" s="91">
        <v>1</v>
      </c>
      <c r="AA482" s="92">
        <v>1</v>
      </c>
      <c r="AB482" s="91">
        <v>1</v>
      </c>
      <c r="AC482" s="91">
        <v>1</v>
      </c>
      <c r="AD482" s="91">
        <v>1</v>
      </c>
      <c r="AE482" s="91">
        <v>2</v>
      </c>
      <c r="AF482" s="90">
        <v>1</v>
      </c>
      <c r="AG482" s="91">
        <v>1</v>
      </c>
      <c r="AH482" s="91">
        <v>1</v>
      </c>
      <c r="AI482" s="91">
        <v>1</v>
      </c>
      <c r="AJ482" s="91">
        <v>2</v>
      </c>
      <c r="AK482" s="210">
        <f t="shared" si="78"/>
        <v>167.44855454532882</v>
      </c>
      <c r="AL482" s="146"/>
      <c r="AM482" s="94"/>
      <c r="AN482" s="95"/>
      <c r="AO482" s="91" t="str">
        <f>IF(head!$F$82="S460","a0","a")</f>
        <v>a</v>
      </c>
      <c r="AP482" s="91">
        <f t="shared" si="79"/>
        <v>0.21</v>
      </c>
      <c r="AQ482" s="96">
        <f>IF(head!F$82="S235",235,IF(head!F$82="S275",275,IF(head!F$82="S355",355,IF(head!F$82="S420",420,460))))^0.5*head!$G$70*1000/(S482*3.1416*210000^0.5)</f>
        <v>3.2224122600786291</v>
      </c>
      <c r="AR482" s="96">
        <f t="shared" si="80"/>
        <v>6.0093236742607852</v>
      </c>
      <c r="AS482" s="96">
        <f t="shared" si="81"/>
        <v>9.023964196510717E-2</v>
      </c>
      <c r="AT482" s="50">
        <f>IF(head!F$82="S235",235,IF(head!F$82="S275",275,IF(head!F$82="S355",355,IF(head!F$82="S420",420,460))))*AS482*J482/1000</f>
        <v>72.72430116474014</v>
      </c>
      <c r="AU482" s="207" t="s">
        <v>47</v>
      </c>
      <c r="AV482" s="208" t="s">
        <v>47</v>
      </c>
      <c r="AW482" s="208" t="s">
        <v>47</v>
      </c>
      <c r="AX482" s="209" t="s">
        <v>47</v>
      </c>
      <c r="AY482" s="208" t="s">
        <v>47</v>
      </c>
      <c r="AZ482" s="197">
        <v>0</v>
      </c>
      <c r="BA482" s="97" t="str">
        <f t="shared" si="82"/>
        <v>HF CHS 121 x 8</v>
      </c>
    </row>
    <row r="483" spans="1:53">
      <c r="A483" s="82" t="s">
        <v>597</v>
      </c>
      <c r="B483" s="83">
        <f t="shared" si="83"/>
        <v>88.564970253321633</v>
      </c>
      <c r="C483" s="84">
        <v>121</v>
      </c>
      <c r="D483" s="84"/>
      <c r="E483" s="125">
        <v>8</v>
      </c>
      <c r="F483" s="84"/>
      <c r="G483" s="84"/>
      <c r="H483" s="85">
        <v>22.293998106934605</v>
      </c>
      <c r="I483" s="86">
        <v>22.719998070761381</v>
      </c>
      <c r="J483" s="86">
        <v>2839.9997588451729</v>
      </c>
      <c r="K483" s="86">
        <v>0.38013271108436497</v>
      </c>
      <c r="L483" s="87">
        <v>4555714.6131575136</v>
      </c>
      <c r="M483" s="88">
        <v>75301.067986074617</v>
      </c>
      <c r="N483" s="88">
        <v>102322.66666666666</v>
      </c>
      <c r="O483" s="89">
        <v>40.05152930912876</v>
      </c>
      <c r="P483" s="88">
        <v>4555714.6131575136</v>
      </c>
      <c r="Q483" s="88">
        <v>75301.067986074617</v>
      </c>
      <c r="R483" s="88">
        <v>102322.66666666666</v>
      </c>
      <c r="S483" s="86">
        <v>40.05152930912876</v>
      </c>
      <c r="T483" s="87">
        <v>9111429.2263150271</v>
      </c>
      <c r="U483" s="119"/>
      <c r="V483" s="90">
        <v>1</v>
      </c>
      <c r="W483" s="91">
        <v>1</v>
      </c>
      <c r="X483" s="91">
        <v>1</v>
      </c>
      <c r="Y483" s="91">
        <v>1</v>
      </c>
      <c r="Z483" s="91">
        <v>1</v>
      </c>
      <c r="AA483" s="92">
        <v>1</v>
      </c>
      <c r="AB483" s="91">
        <v>1</v>
      </c>
      <c r="AC483" s="91">
        <v>1</v>
      </c>
      <c r="AD483" s="91">
        <v>1</v>
      </c>
      <c r="AE483" s="91">
        <v>1</v>
      </c>
      <c r="AF483" s="90">
        <v>1</v>
      </c>
      <c r="AG483" s="91">
        <v>1</v>
      </c>
      <c r="AH483" s="91">
        <v>1</v>
      </c>
      <c r="AI483" s="91">
        <v>1</v>
      </c>
      <c r="AJ483" s="91">
        <v>1</v>
      </c>
      <c r="AK483" s="210">
        <f t="shared" si="78"/>
        <v>133.84955752212392</v>
      </c>
      <c r="AL483" s="146"/>
      <c r="AM483" s="94"/>
      <c r="AN483" s="95"/>
      <c r="AO483" s="91" t="str">
        <f>IF(head!$F$82="S460","a0","a")</f>
        <v>a</v>
      </c>
      <c r="AP483" s="91">
        <f t="shared" si="79"/>
        <v>0.21</v>
      </c>
      <c r="AQ483" s="96">
        <f>IF(head!F$82="S235",235,IF(head!F$82="S275",275,IF(head!F$82="S355",355,IF(head!F$82="S420",420,460))))^0.5*head!$G$70*1000/(S483*3.1416*210000^0.5)</f>
        <v>3.2676425095126849</v>
      </c>
      <c r="AR483" s="96">
        <f t="shared" si="80"/>
        <v>6.1608462484860098</v>
      </c>
      <c r="AS483" s="96">
        <f t="shared" si="81"/>
        <v>8.7844651630330353E-2</v>
      </c>
      <c r="AT483" s="50">
        <f>IF(head!F$82="S235",235,IF(head!F$82="S275",275,IF(head!F$82="S355",355,IF(head!F$82="S420",420,460))))*AS483*J483/1000</f>
        <v>88.564970253321633</v>
      </c>
      <c r="AU483" s="207" t="s">
        <v>47</v>
      </c>
      <c r="AV483" s="208" t="s">
        <v>47</v>
      </c>
      <c r="AW483" s="208" t="s">
        <v>47</v>
      </c>
      <c r="AX483" s="209" t="s">
        <v>47</v>
      </c>
      <c r="AY483" s="208" t="s">
        <v>47</v>
      </c>
      <c r="AZ483" s="197">
        <v>0</v>
      </c>
      <c r="BA483" s="97" t="str">
        <f t="shared" si="82"/>
        <v>HF CHS 121 x 10</v>
      </c>
    </row>
    <row r="484" spans="1:53">
      <c r="A484" s="82" t="s">
        <v>598</v>
      </c>
      <c r="B484" s="83">
        <f t="shared" si="83"/>
        <v>105.37370930450508</v>
      </c>
      <c r="C484" s="84">
        <v>121</v>
      </c>
      <c r="D484" s="84"/>
      <c r="E484" s="125" t="s">
        <v>828</v>
      </c>
      <c r="F484" s="84"/>
      <c r="G484" s="84"/>
      <c r="H484" s="85">
        <v>27.374267587054661</v>
      </c>
      <c r="I484" s="86">
        <v>27.897342763877361</v>
      </c>
      <c r="J484" s="86">
        <v>3487.1678454846706</v>
      </c>
      <c r="K484" s="86">
        <v>0.38013271108436497</v>
      </c>
      <c r="L484" s="87">
        <v>5414263.9760956364</v>
      </c>
      <c r="M484" s="88">
        <v>89491.966547035307</v>
      </c>
      <c r="N484" s="88">
        <v>123543.33333333334</v>
      </c>
      <c r="O484" s="89">
        <v>39.403362800654463</v>
      </c>
      <c r="P484" s="88">
        <v>5414263.9760956364</v>
      </c>
      <c r="Q484" s="88">
        <v>89491.966547035307</v>
      </c>
      <c r="R484" s="88">
        <v>123543.33333333334</v>
      </c>
      <c r="S484" s="86">
        <v>39.403362800654463</v>
      </c>
      <c r="T484" s="87">
        <v>10828527.952191273</v>
      </c>
      <c r="U484" s="119"/>
      <c r="V484" s="90">
        <v>1</v>
      </c>
      <c r="W484" s="91">
        <v>1</v>
      </c>
      <c r="X484" s="91">
        <v>1</v>
      </c>
      <c r="Y484" s="91">
        <v>1</v>
      </c>
      <c r="Z484" s="91">
        <v>1</v>
      </c>
      <c r="AA484" s="92">
        <v>1</v>
      </c>
      <c r="AB484" s="91">
        <v>1</v>
      </c>
      <c r="AC484" s="91">
        <v>1</v>
      </c>
      <c r="AD484" s="91">
        <v>1</v>
      </c>
      <c r="AE484" s="91">
        <v>1</v>
      </c>
      <c r="AF484" s="90">
        <v>1</v>
      </c>
      <c r="AG484" s="91">
        <v>1</v>
      </c>
      <c r="AH484" s="91">
        <v>1</v>
      </c>
      <c r="AI484" s="91">
        <v>1</v>
      </c>
      <c r="AJ484" s="91">
        <v>1</v>
      </c>
      <c r="AK484" s="210">
        <f t="shared" si="78"/>
        <v>109.00900900900901</v>
      </c>
      <c r="AL484" s="146"/>
      <c r="AM484" s="94"/>
      <c r="AN484" s="95"/>
      <c r="AO484" s="91" t="str">
        <f>IF(head!$F$82="S460","a0","a")</f>
        <v>a</v>
      </c>
      <c r="AP484" s="91">
        <f t="shared" si="79"/>
        <v>0.21</v>
      </c>
      <c r="AQ484" s="96">
        <f>IF(head!F$82="S235",235,IF(head!F$82="S275",275,IF(head!F$82="S355",355,IF(head!F$82="S420",420,460))))^0.5*head!$G$70*1000/(S484*3.1416*210000^0.5)</f>
        <v>3.3213936689517429</v>
      </c>
      <c r="AR484" s="96">
        <f t="shared" si="80"/>
        <v>6.3435742873162928</v>
      </c>
      <c r="AS484" s="96">
        <f t="shared" si="81"/>
        <v>8.5119891931178429E-2</v>
      </c>
      <c r="AT484" s="50">
        <f>IF(head!F$82="S235",235,IF(head!F$82="S275",275,IF(head!F$82="S355",355,IF(head!F$82="S420",420,460))))*AS484*J484/1000</f>
        <v>105.37370930450508</v>
      </c>
      <c r="AU484" s="207" t="s">
        <v>47</v>
      </c>
      <c r="AV484" s="208" t="s">
        <v>47</v>
      </c>
      <c r="AW484" s="208" t="s">
        <v>47</v>
      </c>
      <c r="AX484" s="209" t="s">
        <v>47</v>
      </c>
      <c r="AY484" s="208" t="s">
        <v>47</v>
      </c>
      <c r="AZ484" s="197">
        <v>0</v>
      </c>
      <c r="BA484" s="97" t="str">
        <f t="shared" si="82"/>
        <v>HF CHS 121 x 12,5</v>
      </c>
    </row>
    <row r="485" spans="1:53">
      <c r="A485" s="82" t="s">
        <v>599</v>
      </c>
      <c r="B485" s="83">
        <f t="shared" si="83"/>
        <v>123.81355852290409</v>
      </c>
      <c r="C485" s="84">
        <v>121</v>
      </c>
      <c r="D485" s="84"/>
      <c r="E485" s="125" t="s">
        <v>829</v>
      </c>
      <c r="F485" s="84"/>
      <c r="G485" s="84"/>
      <c r="H485" s="85">
        <v>33.447162535984582</v>
      </c>
      <c r="I485" s="86">
        <v>34.086280291449256</v>
      </c>
      <c r="J485" s="86">
        <v>4260.7850364311571</v>
      </c>
      <c r="K485" s="86">
        <v>0.38013271108436497</v>
      </c>
      <c r="L485" s="87">
        <v>6353096.788383632</v>
      </c>
      <c r="M485" s="88">
        <v>105009.86427080382</v>
      </c>
      <c r="N485" s="88">
        <v>147804.16666666669</v>
      </c>
      <c r="O485" s="89">
        <v>38.614278447227264</v>
      </c>
      <c r="P485" s="88">
        <v>6353096.788383632</v>
      </c>
      <c r="Q485" s="88">
        <v>105009.86427080382</v>
      </c>
      <c r="R485" s="88">
        <v>147804.16666666669</v>
      </c>
      <c r="S485" s="86">
        <v>38.614278447227264</v>
      </c>
      <c r="T485" s="87">
        <v>12706193.576767264</v>
      </c>
      <c r="U485" s="119"/>
      <c r="V485" s="90">
        <v>1</v>
      </c>
      <c r="W485" s="91">
        <v>1</v>
      </c>
      <c r="X485" s="91">
        <v>1</v>
      </c>
      <c r="Y485" s="91">
        <v>1</v>
      </c>
      <c r="Z485" s="91">
        <v>1</v>
      </c>
      <c r="AA485" s="92">
        <v>1</v>
      </c>
      <c r="AB485" s="91">
        <v>1</v>
      </c>
      <c r="AC485" s="91">
        <v>1</v>
      </c>
      <c r="AD485" s="91">
        <v>1</v>
      </c>
      <c r="AE485" s="91">
        <v>1</v>
      </c>
      <c r="AF485" s="90">
        <v>1</v>
      </c>
      <c r="AG485" s="91">
        <v>1</v>
      </c>
      <c r="AH485" s="91">
        <v>1</v>
      </c>
      <c r="AI485" s="91">
        <v>1</v>
      </c>
      <c r="AJ485" s="91">
        <v>1</v>
      </c>
      <c r="AK485" s="210">
        <f t="shared" si="78"/>
        <v>89.21658986175116</v>
      </c>
      <c r="AL485" s="146"/>
      <c r="AM485" s="94"/>
      <c r="AN485" s="95"/>
      <c r="AO485" s="91" t="str">
        <f>IF(head!$F$82="S460","a0","a")</f>
        <v>a</v>
      </c>
      <c r="AP485" s="91">
        <f t="shared" si="79"/>
        <v>0.21</v>
      </c>
      <c r="AQ485" s="96">
        <f>IF(head!F$82="S235",235,IF(head!F$82="S275",275,IF(head!F$82="S355",355,IF(head!F$82="S420",420,460))))^0.5*head!$G$70*1000/(S485*3.1416*210000^0.5)</f>
        <v>3.38926648390862</v>
      </c>
      <c r="AR485" s="96">
        <f t="shared" si="80"/>
        <v>6.5784366302835551</v>
      </c>
      <c r="AS485" s="96">
        <f t="shared" si="81"/>
        <v>8.1855945420000173E-2</v>
      </c>
      <c r="AT485" s="50">
        <f>IF(head!F$82="S235",235,IF(head!F$82="S275",275,IF(head!F$82="S355",355,IF(head!F$82="S420",420,460))))*AS485*J485/1000</f>
        <v>123.81355852290409</v>
      </c>
      <c r="AU485" s="207" t="s">
        <v>47</v>
      </c>
      <c r="AV485" s="208" t="s">
        <v>47</v>
      </c>
      <c r="AW485" s="208" t="s">
        <v>47</v>
      </c>
      <c r="AX485" s="209" t="s">
        <v>47</v>
      </c>
      <c r="AY485" s="208" t="s">
        <v>47</v>
      </c>
      <c r="AZ485" s="197">
        <v>0</v>
      </c>
      <c r="BA485" s="97" t="str">
        <f t="shared" si="82"/>
        <v>HF CHS 121 x 16</v>
      </c>
    </row>
    <row r="486" spans="1:53">
      <c r="A486" s="82" t="s">
        <v>600</v>
      </c>
      <c r="B486" s="83">
        <f t="shared" si="83"/>
        <v>145.30754242512833</v>
      </c>
      <c r="C486" s="84">
        <v>121</v>
      </c>
      <c r="D486" s="84"/>
      <c r="E486" s="125" t="s">
        <v>831</v>
      </c>
      <c r="F486" s="84"/>
      <c r="G486" s="84"/>
      <c r="H486" s="85">
        <v>41.431323915542194</v>
      </c>
      <c r="I486" s="86">
        <v>42.223005264246822</v>
      </c>
      <c r="J486" s="86">
        <v>5277.8756580308527</v>
      </c>
      <c r="K486" s="86">
        <v>0.38013271108436497</v>
      </c>
      <c r="L486" s="87">
        <v>7442464.412280756</v>
      </c>
      <c r="M486" s="88">
        <v>123015.94069885545</v>
      </c>
      <c r="N486" s="88">
        <v>177765.33333333334</v>
      </c>
      <c r="O486" s="89">
        <v>37.551631123028464</v>
      </c>
      <c r="P486" s="88">
        <v>7442464.412280756</v>
      </c>
      <c r="Q486" s="88">
        <v>123015.94069885545</v>
      </c>
      <c r="R486" s="88">
        <v>177765.33333333334</v>
      </c>
      <c r="S486" s="86">
        <v>37.551631123028464</v>
      </c>
      <c r="T486" s="87">
        <v>14884928.824561512</v>
      </c>
      <c r="U486" s="119"/>
      <c r="V486" s="90">
        <v>1</v>
      </c>
      <c r="W486" s="91">
        <v>1</v>
      </c>
      <c r="X486" s="91">
        <v>1</v>
      </c>
      <c r="Y486" s="91">
        <v>1</v>
      </c>
      <c r="Z486" s="91">
        <v>1</v>
      </c>
      <c r="AA486" s="92">
        <v>1</v>
      </c>
      <c r="AB486" s="91">
        <v>1</v>
      </c>
      <c r="AC486" s="91">
        <v>1</v>
      </c>
      <c r="AD486" s="91">
        <v>1</v>
      </c>
      <c r="AE486" s="91">
        <v>1</v>
      </c>
      <c r="AF486" s="90">
        <v>1</v>
      </c>
      <c r="AG486" s="91">
        <v>1</v>
      </c>
      <c r="AH486" s="91">
        <v>1</v>
      </c>
      <c r="AI486" s="91">
        <v>1</v>
      </c>
      <c r="AJ486" s="91">
        <v>1</v>
      </c>
      <c r="AK486" s="210">
        <f t="shared" si="78"/>
        <v>72.023809523809518</v>
      </c>
      <c r="AL486" s="146"/>
      <c r="AM486" s="94"/>
      <c r="AN486" s="95"/>
      <c r="AO486" s="91" t="str">
        <f>IF(head!$F$82="S460","a0","a")</f>
        <v>a</v>
      </c>
      <c r="AP486" s="91">
        <f t="shared" si="79"/>
        <v>0.21</v>
      </c>
      <c r="AQ486" s="96">
        <f>IF(head!F$82="S235",235,IF(head!F$82="S275",275,IF(head!F$82="S355",355,IF(head!F$82="S420",420,460))))^0.5*head!$G$70*1000/(S486*3.1416*210000^0.5)</f>
        <v>3.4851769637576164</v>
      </c>
      <c r="AR486" s="96">
        <f t="shared" si="80"/>
        <v>6.918172815547929</v>
      </c>
      <c r="AS486" s="96">
        <f t="shared" si="81"/>
        <v>7.7553365679055894E-2</v>
      </c>
      <c r="AT486" s="50">
        <f>IF(head!F$82="S235",235,IF(head!F$82="S275",275,IF(head!F$82="S355",355,IF(head!F$82="S420",420,460))))*AS486*J486/1000</f>
        <v>145.30754242512833</v>
      </c>
      <c r="AU486" s="207" t="s">
        <v>47</v>
      </c>
      <c r="AV486" s="208" t="s">
        <v>47</v>
      </c>
      <c r="AW486" s="208" t="s">
        <v>47</v>
      </c>
      <c r="AX486" s="209" t="s">
        <v>47</v>
      </c>
      <c r="AY486" s="208" t="s">
        <v>47</v>
      </c>
      <c r="AZ486" s="197">
        <v>0</v>
      </c>
      <c r="BA486" s="97" t="str">
        <f t="shared" si="82"/>
        <v>HF CHS 121 x 17,5</v>
      </c>
    </row>
    <row r="487" spans="1:53">
      <c r="A487" s="82" t="s">
        <v>601</v>
      </c>
      <c r="B487" s="83">
        <f t="shared" si="83"/>
        <v>153.12864912112411</v>
      </c>
      <c r="C487" s="84">
        <v>121</v>
      </c>
      <c r="D487" s="84"/>
      <c r="E487" s="125" t="s">
        <v>832</v>
      </c>
      <c r="F487" s="84"/>
      <c r="G487" s="84"/>
      <c r="H487" s="85">
        <v>44.668146096443927</v>
      </c>
      <c r="I487" s="86">
        <v>45.521677550516102</v>
      </c>
      <c r="J487" s="86">
        <v>5690.2096938145132</v>
      </c>
      <c r="K487" s="86">
        <v>0.38013271108436497</v>
      </c>
      <c r="L487" s="87">
        <v>7837196.9389119009</v>
      </c>
      <c r="M487" s="88">
        <v>129540.44527127109</v>
      </c>
      <c r="N487" s="88">
        <v>189250.83333333334</v>
      </c>
      <c r="O487" s="89">
        <v>37.112161079624556</v>
      </c>
      <c r="P487" s="88">
        <v>7837196.9389119009</v>
      </c>
      <c r="Q487" s="88">
        <v>129540.44527127109</v>
      </c>
      <c r="R487" s="88">
        <v>189250.83333333334</v>
      </c>
      <c r="S487" s="86">
        <v>37.112161079624556</v>
      </c>
      <c r="T487" s="87">
        <v>15674393.877823802</v>
      </c>
      <c r="U487" s="119"/>
      <c r="V487" s="90">
        <v>1</v>
      </c>
      <c r="W487" s="91">
        <v>1</v>
      </c>
      <c r="X487" s="91">
        <v>1</v>
      </c>
      <c r="Y487" s="91">
        <v>1</v>
      </c>
      <c r="Z487" s="91">
        <v>1</v>
      </c>
      <c r="AA487" s="92">
        <v>1</v>
      </c>
      <c r="AB487" s="91">
        <v>1</v>
      </c>
      <c r="AC487" s="91">
        <v>1</v>
      </c>
      <c r="AD487" s="91">
        <v>1</v>
      </c>
      <c r="AE487" s="91">
        <v>1</v>
      </c>
      <c r="AF487" s="90">
        <v>1</v>
      </c>
      <c r="AG487" s="91">
        <v>1</v>
      </c>
      <c r="AH487" s="91">
        <v>1</v>
      </c>
      <c r="AI487" s="91">
        <v>1</v>
      </c>
      <c r="AJ487" s="91">
        <v>1</v>
      </c>
      <c r="AK487" s="210">
        <f t="shared" si="78"/>
        <v>66.80469289164941</v>
      </c>
      <c r="AL487" s="146"/>
      <c r="AM487" s="94"/>
      <c r="AN487" s="95"/>
      <c r="AO487" s="91" t="str">
        <f>IF(head!$F$82="S460","a0","a")</f>
        <v>a</v>
      </c>
      <c r="AP487" s="91">
        <f t="shared" si="79"/>
        <v>0.21</v>
      </c>
      <c r="AQ487" s="96">
        <f>IF(head!F$82="S235",235,IF(head!F$82="S275",275,IF(head!F$82="S355",355,IF(head!F$82="S420",420,460))))^0.5*head!$G$70*1000/(S487*3.1416*210000^0.5)</f>
        <v>3.5264472866646206</v>
      </c>
      <c r="AR487" s="96">
        <f t="shared" si="80"/>
        <v>7.0671921979119183</v>
      </c>
      <c r="AS487" s="96">
        <f t="shared" si="81"/>
        <v>7.580534472259276E-2</v>
      </c>
      <c r="AT487" s="50">
        <f>IF(head!F$82="S235",235,IF(head!F$82="S275",275,IF(head!F$82="S355",355,IF(head!F$82="S420",420,460))))*AS487*J487/1000</f>
        <v>153.12864912112411</v>
      </c>
      <c r="AU487" s="207" t="s">
        <v>47</v>
      </c>
      <c r="AV487" s="208" t="s">
        <v>47</v>
      </c>
      <c r="AW487" s="208" t="s">
        <v>47</v>
      </c>
      <c r="AX487" s="209" t="s">
        <v>47</v>
      </c>
      <c r="AY487" s="208" t="s">
        <v>47</v>
      </c>
      <c r="AZ487" s="197">
        <v>0</v>
      </c>
      <c r="BA487" s="97" t="str">
        <f t="shared" si="82"/>
        <v>HF CHS 121 x 20</v>
      </c>
    </row>
    <row r="488" spans="1:53">
      <c r="A488" s="82" t="s">
        <v>602</v>
      </c>
      <c r="B488" s="83">
        <f t="shared" si="83"/>
        <v>164.50360512903819</v>
      </c>
      <c r="C488" s="84">
        <v>121</v>
      </c>
      <c r="D488" s="84"/>
      <c r="E488" s="125" t="s">
        <v>833</v>
      </c>
      <c r="F488" s="84"/>
      <c r="G488" s="84"/>
      <c r="H488" s="85">
        <v>49.816234707973344</v>
      </c>
      <c r="I488" s="86">
        <v>50.768137282011054</v>
      </c>
      <c r="J488" s="86">
        <v>6346.0171602513819</v>
      </c>
      <c r="K488" s="86">
        <v>0.38013271108436497</v>
      </c>
      <c r="L488" s="87">
        <v>8409265.9894781131</v>
      </c>
      <c r="M488" s="88">
        <v>138996.13205748945</v>
      </c>
      <c r="N488" s="88">
        <v>206686.66666666666</v>
      </c>
      <c r="O488" s="89">
        <v>36.402266412958411</v>
      </c>
      <c r="P488" s="88">
        <v>8409265.9894781131</v>
      </c>
      <c r="Q488" s="88">
        <v>138996.13205748945</v>
      </c>
      <c r="R488" s="88">
        <v>206686.66666666666</v>
      </c>
      <c r="S488" s="86">
        <v>36.402266412958411</v>
      </c>
      <c r="T488" s="87">
        <v>16818531.978956226</v>
      </c>
      <c r="U488" s="119"/>
      <c r="V488" s="90">
        <v>1</v>
      </c>
      <c r="W488" s="91">
        <v>1</v>
      </c>
      <c r="X488" s="91">
        <v>1</v>
      </c>
      <c r="Y488" s="91">
        <v>1</v>
      </c>
      <c r="Z488" s="91">
        <v>1</v>
      </c>
      <c r="AA488" s="92">
        <v>1</v>
      </c>
      <c r="AB488" s="91">
        <v>1</v>
      </c>
      <c r="AC488" s="91">
        <v>1</v>
      </c>
      <c r="AD488" s="91">
        <v>1</v>
      </c>
      <c r="AE488" s="91">
        <v>1</v>
      </c>
      <c r="AF488" s="90">
        <v>1</v>
      </c>
      <c r="AG488" s="91">
        <v>1</v>
      </c>
      <c r="AH488" s="91">
        <v>1</v>
      </c>
      <c r="AI488" s="91">
        <v>1</v>
      </c>
      <c r="AJ488" s="91">
        <v>1</v>
      </c>
      <c r="AK488" s="210">
        <f t="shared" si="78"/>
        <v>59.900990099009903</v>
      </c>
      <c r="AL488" s="146"/>
      <c r="AM488" s="94"/>
      <c r="AN488" s="95"/>
      <c r="AO488" s="91" t="str">
        <f>IF(head!$F$82="S460","a0","a")</f>
        <v>a</v>
      </c>
      <c r="AP488" s="91">
        <f t="shared" si="79"/>
        <v>0.21</v>
      </c>
      <c r="AQ488" s="96">
        <f>IF(head!F$82="S235",235,IF(head!F$82="S275",275,IF(head!F$82="S355",355,IF(head!F$82="S420",420,460))))^0.5*head!$G$70*1000/(S488*3.1416*210000^0.5)</f>
        <v>3.5952178981612541</v>
      </c>
      <c r="AR488" s="96">
        <f t="shared" si="80"/>
        <v>7.3192937469364443</v>
      </c>
      <c r="AS488" s="96">
        <f t="shared" si="81"/>
        <v>7.3020671908307619E-2</v>
      </c>
      <c r="AT488" s="50">
        <f>IF(head!F$82="S235",235,IF(head!F$82="S275",275,IF(head!F$82="S355",355,IF(head!F$82="S420",420,460))))*AS488*J488/1000</f>
        <v>164.50360512903819</v>
      </c>
      <c r="AU488" s="207" t="s">
        <v>47</v>
      </c>
      <c r="AV488" s="208" t="s">
        <v>47</v>
      </c>
      <c r="AW488" s="208" t="s">
        <v>47</v>
      </c>
      <c r="AX488" s="209" t="s">
        <v>47</v>
      </c>
      <c r="AY488" s="208" t="s">
        <v>47</v>
      </c>
      <c r="AZ488" s="197">
        <v>0</v>
      </c>
      <c r="BA488" s="97" t="str">
        <f t="shared" si="82"/>
        <v>HF CHS 127 x 5</v>
      </c>
    </row>
    <row r="489" spans="1:53">
      <c r="A489" s="82" t="s">
        <v>603</v>
      </c>
      <c r="B489" s="83">
        <f t="shared" si="83"/>
        <v>69.049566929175782</v>
      </c>
      <c r="C489" s="84">
        <v>127</v>
      </c>
      <c r="D489" s="84"/>
      <c r="E489" s="125">
        <v>5</v>
      </c>
      <c r="F489" s="84"/>
      <c r="G489" s="84"/>
      <c r="H489" s="85">
        <v>15.043516421714724</v>
      </c>
      <c r="I489" s="86">
        <v>15.330972149518191</v>
      </c>
      <c r="J489" s="86">
        <v>1916.3715186897739</v>
      </c>
      <c r="K489" s="86">
        <v>0.39898226700590372</v>
      </c>
      <c r="L489" s="87">
        <v>3571397.8715182301</v>
      </c>
      <c r="M489" s="88">
        <v>56242.486165641414</v>
      </c>
      <c r="N489" s="88">
        <v>74461.666666666672</v>
      </c>
      <c r="O489" s="89">
        <v>43.16972318651117</v>
      </c>
      <c r="P489" s="88">
        <v>3571397.8715182301</v>
      </c>
      <c r="Q489" s="88">
        <v>56242.486165641414</v>
      </c>
      <c r="R489" s="88">
        <v>74461.666666666672</v>
      </c>
      <c r="S489" s="86">
        <v>43.16972318651117</v>
      </c>
      <c r="T489" s="87">
        <v>7142795.7430364601</v>
      </c>
      <c r="U489" s="119"/>
      <c r="V489" s="90">
        <v>1</v>
      </c>
      <c r="W489" s="91">
        <v>1</v>
      </c>
      <c r="X489" s="91">
        <v>1</v>
      </c>
      <c r="Y489" s="91">
        <v>1</v>
      </c>
      <c r="Z489" s="91">
        <v>1</v>
      </c>
      <c r="AA489" s="92">
        <v>1</v>
      </c>
      <c r="AB489" s="91">
        <v>1</v>
      </c>
      <c r="AC489" s="91">
        <v>2</v>
      </c>
      <c r="AD489" s="91">
        <v>2</v>
      </c>
      <c r="AE489" s="91">
        <v>2</v>
      </c>
      <c r="AF489" s="90">
        <v>1</v>
      </c>
      <c r="AG489" s="91">
        <v>1</v>
      </c>
      <c r="AH489" s="91">
        <v>2</v>
      </c>
      <c r="AI489" s="91">
        <v>2</v>
      </c>
      <c r="AJ489" s="91">
        <v>2</v>
      </c>
      <c r="AK489" s="210">
        <f t="shared" si="78"/>
        <v>208.19672131147541</v>
      </c>
      <c r="AL489" s="146"/>
      <c r="AM489" s="94"/>
      <c r="AN489" s="95"/>
      <c r="AO489" s="91" t="str">
        <f>IF(head!$F$82="S460","a0","a")</f>
        <v>a</v>
      </c>
      <c r="AP489" s="91">
        <f t="shared" si="79"/>
        <v>0.21</v>
      </c>
      <c r="AQ489" s="96">
        <f>IF(head!F$82="S235",235,IF(head!F$82="S275",275,IF(head!F$82="S355",355,IF(head!F$82="S420",420,460))))^0.5*head!$G$70*1000/(S489*3.1416*210000^0.5)</f>
        <v>3.0316173021557691</v>
      </c>
      <c r="AR489" s="96">
        <f t="shared" si="80"/>
        <v>5.3926715500914675</v>
      </c>
      <c r="AS489" s="96">
        <f t="shared" si="81"/>
        <v>0.10149692814715298</v>
      </c>
      <c r="AT489" s="50">
        <f>IF(head!F$82="S235",235,IF(head!F$82="S275",275,IF(head!F$82="S355",355,IF(head!F$82="S420",420,460))))*AS489*J489/1000</f>
        <v>69.049566929175782</v>
      </c>
      <c r="AU489" s="207" t="s">
        <v>47</v>
      </c>
      <c r="AV489" s="208" t="s">
        <v>47</v>
      </c>
      <c r="AW489" s="208" t="s">
        <v>47</v>
      </c>
      <c r="AX489" s="209" t="s">
        <v>47</v>
      </c>
      <c r="AY489" s="208" t="s">
        <v>47</v>
      </c>
      <c r="AZ489" s="197">
        <v>0</v>
      </c>
      <c r="BA489" s="97" t="str">
        <f t="shared" si="82"/>
        <v>HF CHS 127 x 6,3</v>
      </c>
    </row>
    <row r="490" spans="1:53">
      <c r="A490" s="82" t="s">
        <v>604</v>
      </c>
      <c r="B490" s="83">
        <f t="shared" si="83"/>
        <v>84.404388661144452</v>
      </c>
      <c r="C490" s="84">
        <v>127</v>
      </c>
      <c r="D490" s="84"/>
      <c r="E490" s="125">
        <v>6.3</v>
      </c>
      <c r="F490" s="84"/>
      <c r="G490" s="84"/>
      <c r="H490" s="85">
        <v>18.752852987272281</v>
      </c>
      <c r="I490" s="86">
        <v>19.111187757729713</v>
      </c>
      <c r="J490" s="86">
        <v>2388.8984697162141</v>
      </c>
      <c r="K490" s="86">
        <v>0.39898226700590372</v>
      </c>
      <c r="L490" s="87">
        <v>4362182.3559173765</v>
      </c>
      <c r="M490" s="88">
        <v>68695.785132557125</v>
      </c>
      <c r="N490" s="88">
        <v>91864.835999999967</v>
      </c>
      <c r="O490" s="89">
        <v>42.731984508094172</v>
      </c>
      <c r="P490" s="88">
        <v>4362182.3559173765</v>
      </c>
      <c r="Q490" s="88">
        <v>68695.785132557125</v>
      </c>
      <c r="R490" s="88">
        <v>91864.835999999967</v>
      </c>
      <c r="S490" s="86">
        <v>42.731984508094172</v>
      </c>
      <c r="T490" s="87">
        <v>8724364.7118347529</v>
      </c>
      <c r="U490" s="119"/>
      <c r="V490" s="90">
        <v>1</v>
      </c>
      <c r="W490" s="91">
        <v>1</v>
      </c>
      <c r="X490" s="91">
        <v>1</v>
      </c>
      <c r="Y490" s="91">
        <v>1</v>
      </c>
      <c r="Z490" s="91">
        <v>1</v>
      </c>
      <c r="AA490" s="92">
        <v>1</v>
      </c>
      <c r="AB490" s="91">
        <v>1</v>
      </c>
      <c r="AC490" s="91">
        <v>1</v>
      </c>
      <c r="AD490" s="91">
        <v>1</v>
      </c>
      <c r="AE490" s="91">
        <v>2</v>
      </c>
      <c r="AF490" s="90">
        <v>1</v>
      </c>
      <c r="AG490" s="91">
        <v>1</v>
      </c>
      <c r="AH490" s="91">
        <v>1</v>
      </c>
      <c r="AI490" s="91">
        <v>1</v>
      </c>
      <c r="AJ490" s="91">
        <v>2</v>
      </c>
      <c r="AK490" s="210">
        <f t="shared" si="78"/>
        <v>167.01516287266085</v>
      </c>
      <c r="AL490" s="146"/>
      <c r="AM490" s="94"/>
      <c r="AN490" s="95"/>
      <c r="AO490" s="91" t="str">
        <f>IF(head!$F$82="S460","a0","a")</f>
        <v>a</v>
      </c>
      <c r="AP490" s="91">
        <f t="shared" si="79"/>
        <v>0.21</v>
      </c>
      <c r="AQ490" s="96">
        <f>IF(head!F$82="S235",235,IF(head!F$82="S275",275,IF(head!F$82="S355",355,IF(head!F$82="S420",420,460))))^0.5*head!$G$70*1000/(S490*3.1416*210000^0.5)</f>
        <v>3.0626726384943002</v>
      </c>
      <c r="AR490" s="96">
        <f t="shared" si="80"/>
        <v>5.4905624723327202</v>
      </c>
      <c r="AS490" s="96">
        <f t="shared" si="81"/>
        <v>9.9526557663726367E-2</v>
      </c>
      <c r="AT490" s="50">
        <f>IF(head!F$82="S235",235,IF(head!F$82="S275",275,IF(head!F$82="S355",355,IF(head!F$82="S420",420,460))))*AS490*J490/1000</f>
        <v>84.404388661144452</v>
      </c>
      <c r="AU490" s="207" t="s">
        <v>47</v>
      </c>
      <c r="AV490" s="208" t="s">
        <v>47</v>
      </c>
      <c r="AW490" s="208" t="s">
        <v>47</v>
      </c>
      <c r="AX490" s="209" t="s">
        <v>47</v>
      </c>
      <c r="AY490" s="208" t="s">
        <v>47</v>
      </c>
      <c r="AZ490" s="197">
        <v>0</v>
      </c>
      <c r="BA490" s="97" t="str">
        <f t="shared" si="82"/>
        <v>HF CHS 127 x 7,1</v>
      </c>
    </row>
    <row r="491" spans="1:53">
      <c r="A491" s="82" t="s">
        <v>605</v>
      </c>
      <c r="B491" s="83">
        <f t="shared" si="83"/>
        <v>93.360410069058076</v>
      </c>
      <c r="C491" s="84">
        <v>127</v>
      </c>
      <c r="D491" s="84"/>
      <c r="E491" s="125" t="s">
        <v>825</v>
      </c>
      <c r="F491" s="84"/>
      <c r="G491" s="84"/>
      <c r="H491" s="85">
        <v>20.994090319084471</v>
      </c>
      <c r="I491" s="86">
        <v>21.395251280595637</v>
      </c>
      <c r="J491" s="86">
        <v>2674.4064100744549</v>
      </c>
      <c r="K491" s="86">
        <v>0.39898226700590372</v>
      </c>
      <c r="L491" s="87">
        <v>4822763.7653032895</v>
      </c>
      <c r="M491" s="88">
        <v>75949.035674067549</v>
      </c>
      <c r="N491" s="88">
        <v>102188.97466666666</v>
      </c>
      <c r="O491" s="89">
        <v>42.465309371297415</v>
      </c>
      <c r="P491" s="88">
        <v>4822763.7653032895</v>
      </c>
      <c r="Q491" s="88">
        <v>75949.035674067549</v>
      </c>
      <c r="R491" s="88">
        <v>102188.97466666666</v>
      </c>
      <c r="S491" s="86">
        <v>42.465309371297415</v>
      </c>
      <c r="T491" s="87">
        <v>9645527.530606579</v>
      </c>
      <c r="U491" s="119"/>
      <c r="V491" s="90">
        <v>1</v>
      </c>
      <c r="W491" s="91">
        <v>1</v>
      </c>
      <c r="X491" s="91">
        <v>1</v>
      </c>
      <c r="Y491" s="91">
        <v>1</v>
      </c>
      <c r="Z491" s="91">
        <v>1</v>
      </c>
      <c r="AA491" s="92">
        <v>1</v>
      </c>
      <c r="AB491" s="91">
        <v>1</v>
      </c>
      <c r="AC491" s="91">
        <v>1</v>
      </c>
      <c r="AD491" s="91">
        <v>1</v>
      </c>
      <c r="AE491" s="91">
        <v>1</v>
      </c>
      <c r="AF491" s="90">
        <v>1</v>
      </c>
      <c r="AG491" s="91">
        <v>1</v>
      </c>
      <c r="AH491" s="91">
        <v>1</v>
      </c>
      <c r="AI491" s="91">
        <v>1</v>
      </c>
      <c r="AJ491" s="91">
        <v>1</v>
      </c>
      <c r="AK491" s="210">
        <f t="shared" si="78"/>
        <v>149.18535399217657</v>
      </c>
      <c r="AL491" s="146"/>
      <c r="AM491" s="94"/>
      <c r="AN491" s="95"/>
      <c r="AO491" s="91" t="str">
        <f>IF(head!$F$82="S460","a0","a")</f>
        <v>a</v>
      </c>
      <c r="AP491" s="91">
        <f t="shared" si="79"/>
        <v>0.21</v>
      </c>
      <c r="AQ491" s="96">
        <f>IF(head!F$82="S235",235,IF(head!F$82="S275",275,IF(head!F$82="S355",355,IF(head!F$82="S420",420,460))))^0.5*head!$G$70*1000/(S491*3.1416*210000^0.5)</f>
        <v>3.0819057173750628</v>
      </c>
      <c r="AR491" s="96">
        <f t="shared" si="80"/>
        <v>5.5516715257189322</v>
      </c>
      <c r="AS491" s="96">
        <f t="shared" si="81"/>
        <v>9.8334744347903166E-2</v>
      </c>
      <c r="AT491" s="50">
        <f>IF(head!F$82="S235",235,IF(head!F$82="S275",275,IF(head!F$82="S355",355,IF(head!F$82="S420",420,460))))*AS491*J491/1000</f>
        <v>93.360410069058076</v>
      </c>
      <c r="AU491" s="207" t="s">
        <v>47</v>
      </c>
      <c r="AV491" s="208" t="s">
        <v>47</v>
      </c>
      <c r="AW491" s="208" t="s">
        <v>47</v>
      </c>
      <c r="AX491" s="209" t="s">
        <v>47</v>
      </c>
      <c r="AY491" s="208" t="s">
        <v>47</v>
      </c>
      <c r="AZ491" s="197">
        <v>0</v>
      </c>
      <c r="BA491" s="97" t="str">
        <f t="shared" si="82"/>
        <v>HF CHS 127 x 8</v>
      </c>
    </row>
    <row r="492" spans="1:53">
      <c r="A492" s="82" t="s">
        <v>606</v>
      </c>
      <c r="B492" s="83">
        <f t="shared" si="83"/>
        <v>103.00174657390417</v>
      </c>
      <c r="C492" s="84">
        <v>127</v>
      </c>
      <c r="D492" s="84"/>
      <c r="E492" s="125">
        <v>8</v>
      </c>
      <c r="F492" s="84"/>
      <c r="G492" s="84"/>
      <c r="H492" s="85">
        <v>23.477750218807238</v>
      </c>
      <c r="I492" s="86">
        <v>23.926369649739861</v>
      </c>
      <c r="J492" s="86">
        <v>2990.7962062174829</v>
      </c>
      <c r="K492" s="86">
        <v>0.39898226700590372</v>
      </c>
      <c r="L492" s="87">
        <v>5318009.5041804621</v>
      </c>
      <c r="M492" s="88">
        <v>83748.181168196257</v>
      </c>
      <c r="N492" s="88">
        <v>113458.66666666667</v>
      </c>
      <c r="O492" s="89">
        <v>42.167819483582498</v>
      </c>
      <c r="P492" s="88">
        <v>5318009.5041804621</v>
      </c>
      <c r="Q492" s="88">
        <v>83748.181168196257</v>
      </c>
      <c r="R492" s="88">
        <v>113458.66666666667</v>
      </c>
      <c r="S492" s="86">
        <v>42.167819483582498</v>
      </c>
      <c r="T492" s="87">
        <v>10636019.008360924</v>
      </c>
      <c r="U492" s="119"/>
      <c r="V492" s="90">
        <v>1</v>
      </c>
      <c r="W492" s="91">
        <v>1</v>
      </c>
      <c r="X492" s="91">
        <v>1</v>
      </c>
      <c r="Y492" s="91">
        <v>1</v>
      </c>
      <c r="Z492" s="91">
        <v>1</v>
      </c>
      <c r="AA492" s="92">
        <v>1</v>
      </c>
      <c r="AB492" s="91">
        <v>1</v>
      </c>
      <c r="AC492" s="91">
        <v>1</v>
      </c>
      <c r="AD492" s="91">
        <v>1</v>
      </c>
      <c r="AE492" s="91">
        <v>1</v>
      </c>
      <c r="AF492" s="90">
        <v>1</v>
      </c>
      <c r="AG492" s="91">
        <v>1</v>
      </c>
      <c r="AH492" s="91">
        <v>1</v>
      </c>
      <c r="AI492" s="91">
        <v>1</v>
      </c>
      <c r="AJ492" s="91">
        <v>1</v>
      </c>
      <c r="AK492" s="210">
        <f t="shared" ref="AK492:AK553" si="84">K492/J492*1000000</f>
        <v>133.40336134453781</v>
      </c>
      <c r="AL492" s="146"/>
      <c r="AM492" s="94"/>
      <c r="AN492" s="95"/>
      <c r="AO492" s="91" t="str">
        <f>IF(head!$F$82="S460","a0","a")</f>
        <v>a</v>
      </c>
      <c r="AP492" s="91">
        <f t="shared" si="79"/>
        <v>0.21</v>
      </c>
      <c r="AQ492" s="96">
        <f>IF(head!F$82="S235",235,IF(head!F$82="S275",275,IF(head!F$82="S355",355,IF(head!F$82="S420",420,460))))^0.5*head!$G$70*1000/(S492*3.1416*210000^0.5)</f>
        <v>3.1036482641094714</v>
      </c>
      <c r="AR492" s="96">
        <f t="shared" si="80"/>
        <v>5.6211993413863617</v>
      </c>
      <c r="AS492" s="96">
        <f t="shared" si="81"/>
        <v>9.7012883858063351E-2</v>
      </c>
      <c r="AT492" s="50">
        <f>IF(head!F$82="S235",235,IF(head!F$82="S275",275,IF(head!F$82="S355",355,IF(head!F$82="S420",420,460))))*AS492*J492/1000</f>
        <v>103.00174657390417</v>
      </c>
      <c r="AU492" s="207" t="s">
        <v>47</v>
      </c>
      <c r="AV492" s="208" t="s">
        <v>47</v>
      </c>
      <c r="AW492" s="208" t="s">
        <v>47</v>
      </c>
      <c r="AX492" s="209" t="s">
        <v>47</v>
      </c>
      <c r="AY492" s="208" t="s">
        <v>47</v>
      </c>
      <c r="AZ492" s="197">
        <v>0</v>
      </c>
      <c r="BA492" s="97" t="str">
        <f t="shared" si="82"/>
        <v>HF CHS 127 x 10</v>
      </c>
    </row>
    <row r="493" spans="1:53">
      <c r="A493" s="82" t="s">
        <v>607</v>
      </c>
      <c r="B493" s="83">
        <f t="shared" si="83"/>
        <v>122.84927413956842</v>
      </c>
      <c r="C493" s="84">
        <v>127</v>
      </c>
      <c r="D493" s="84"/>
      <c r="E493" s="125" t="s">
        <v>828</v>
      </c>
      <c r="F493" s="84"/>
      <c r="G493" s="84"/>
      <c r="H493" s="85">
        <v>28.853957726895455</v>
      </c>
      <c r="I493" s="86">
        <v>29.405307237600464</v>
      </c>
      <c r="J493" s="86">
        <v>3675.663404700058</v>
      </c>
      <c r="K493" s="86">
        <v>0.39898226700590372</v>
      </c>
      <c r="L493" s="87">
        <v>6335465.3359261379</v>
      </c>
      <c r="M493" s="88">
        <v>99771.107652380117</v>
      </c>
      <c r="N493" s="88">
        <v>137223.33333333334</v>
      </c>
      <c r="O493" s="89">
        <v>41.516562959859769</v>
      </c>
      <c r="P493" s="88">
        <v>6335465.3359261379</v>
      </c>
      <c r="Q493" s="88">
        <v>99771.107652380117</v>
      </c>
      <c r="R493" s="88">
        <v>137223.33333333334</v>
      </c>
      <c r="S493" s="86">
        <v>41.516562959859769</v>
      </c>
      <c r="T493" s="87">
        <v>12670930.671852276</v>
      </c>
      <c r="U493" s="119"/>
      <c r="V493" s="90">
        <v>1</v>
      </c>
      <c r="W493" s="91">
        <v>1</v>
      </c>
      <c r="X493" s="91">
        <v>1</v>
      </c>
      <c r="Y493" s="91">
        <v>1</v>
      </c>
      <c r="Z493" s="91">
        <v>1</v>
      </c>
      <c r="AA493" s="92">
        <v>1</v>
      </c>
      <c r="AB493" s="91">
        <v>1</v>
      </c>
      <c r="AC493" s="91">
        <v>1</v>
      </c>
      <c r="AD493" s="91">
        <v>1</v>
      </c>
      <c r="AE493" s="91">
        <v>1</v>
      </c>
      <c r="AF493" s="90">
        <v>1</v>
      </c>
      <c r="AG493" s="91">
        <v>1</v>
      </c>
      <c r="AH493" s="91">
        <v>1</v>
      </c>
      <c r="AI493" s="91">
        <v>1</v>
      </c>
      <c r="AJ493" s="91">
        <v>1</v>
      </c>
      <c r="AK493" s="210">
        <f t="shared" si="84"/>
        <v>108.54700854700855</v>
      </c>
      <c r="AL493" s="146"/>
      <c r="AM493" s="94"/>
      <c r="AN493" s="95"/>
      <c r="AO493" s="91" t="str">
        <f>IF(head!$F$82="S460","a0","a")</f>
        <v>a</v>
      </c>
      <c r="AP493" s="91">
        <f t="shared" si="79"/>
        <v>0.21</v>
      </c>
      <c r="AQ493" s="96">
        <f>IF(head!F$82="S235",235,IF(head!F$82="S275",275,IF(head!F$82="S355",355,IF(head!F$82="S420",420,460))))^0.5*head!$G$70*1000/(S493*3.1416*210000^0.5)</f>
        <v>3.1523341628264787</v>
      </c>
      <c r="AR493" s="96">
        <f t="shared" si="80"/>
        <v>5.7786004241582383</v>
      </c>
      <c r="AS493" s="96">
        <f t="shared" si="81"/>
        <v>9.4147438230714642E-2</v>
      </c>
      <c r="AT493" s="50">
        <f>IF(head!F$82="S235",235,IF(head!F$82="S275",275,IF(head!F$82="S355",355,IF(head!F$82="S420",420,460))))*AS493*J493/1000</f>
        <v>122.84927413956842</v>
      </c>
      <c r="AU493" s="207" t="s">
        <v>47</v>
      </c>
      <c r="AV493" s="208" t="s">
        <v>47</v>
      </c>
      <c r="AW493" s="208" t="s">
        <v>47</v>
      </c>
      <c r="AX493" s="209" t="s">
        <v>47</v>
      </c>
      <c r="AY493" s="208" t="s">
        <v>47</v>
      </c>
      <c r="AZ493" s="197">
        <v>0</v>
      </c>
      <c r="BA493" s="97" t="str">
        <f t="shared" si="82"/>
        <v>HF CHS 127 x 12,5</v>
      </c>
    </row>
    <row r="494" spans="1:53">
      <c r="A494" s="82" t="s">
        <v>608</v>
      </c>
      <c r="B494" s="83">
        <f t="shared" si="83"/>
        <v>144.78714953026847</v>
      </c>
      <c r="C494" s="84">
        <v>127</v>
      </c>
      <c r="D494" s="84"/>
      <c r="E494" s="125" t="s">
        <v>829</v>
      </c>
      <c r="F494" s="84"/>
      <c r="G494" s="84"/>
      <c r="H494" s="85">
        <v>35.296775210785576</v>
      </c>
      <c r="I494" s="86">
        <v>35.971235883603136</v>
      </c>
      <c r="J494" s="86">
        <v>4496.4044854503918</v>
      </c>
      <c r="K494" s="86">
        <v>0.39898226700590372</v>
      </c>
      <c r="L494" s="87">
        <v>7456443.7632784517</v>
      </c>
      <c r="M494" s="88">
        <v>117424.31123273153</v>
      </c>
      <c r="N494" s="88">
        <v>164529.16666666666</v>
      </c>
      <c r="O494" s="89">
        <v>40.722383279960418</v>
      </c>
      <c r="P494" s="88">
        <v>7456443.7632784517</v>
      </c>
      <c r="Q494" s="88">
        <v>117424.31123273153</v>
      </c>
      <c r="R494" s="88">
        <v>164529.16666666666</v>
      </c>
      <c r="S494" s="86">
        <v>40.722383279960418</v>
      </c>
      <c r="T494" s="87">
        <v>14912887.526556903</v>
      </c>
      <c r="U494" s="119"/>
      <c r="V494" s="90">
        <v>1</v>
      </c>
      <c r="W494" s="91">
        <v>1</v>
      </c>
      <c r="X494" s="91">
        <v>1</v>
      </c>
      <c r="Y494" s="91">
        <v>1</v>
      </c>
      <c r="Z494" s="91">
        <v>1</v>
      </c>
      <c r="AA494" s="92">
        <v>1</v>
      </c>
      <c r="AB494" s="91">
        <v>1</v>
      </c>
      <c r="AC494" s="91">
        <v>1</v>
      </c>
      <c r="AD494" s="91">
        <v>1</v>
      </c>
      <c r="AE494" s="91">
        <v>1</v>
      </c>
      <c r="AF494" s="90">
        <v>1</v>
      </c>
      <c r="AG494" s="91">
        <v>1</v>
      </c>
      <c r="AH494" s="91">
        <v>1</v>
      </c>
      <c r="AI494" s="91">
        <v>1</v>
      </c>
      <c r="AJ494" s="91">
        <v>1</v>
      </c>
      <c r="AK494" s="210">
        <f t="shared" si="84"/>
        <v>88.733624454148455</v>
      </c>
      <c r="AL494" s="146"/>
      <c r="AM494" s="94"/>
      <c r="AN494" s="95"/>
      <c r="AO494" s="91" t="str">
        <f>IF(head!$F$82="S460","a0","a")</f>
        <v>a</v>
      </c>
      <c r="AP494" s="91">
        <f t="shared" si="79"/>
        <v>0.21</v>
      </c>
      <c r="AQ494" s="96">
        <f>IF(head!F$82="S235",235,IF(head!F$82="S275",275,IF(head!F$82="S355",355,IF(head!F$82="S420",420,460))))^0.5*head!$G$70*1000/(S494*3.1416*210000^0.5)</f>
        <v>3.2138118941065468</v>
      </c>
      <c r="AR494" s="96">
        <f t="shared" si="80"/>
        <v>5.980743694231542</v>
      </c>
      <c r="AS494" s="96">
        <f t="shared" si="81"/>
        <v>9.0706057864036391E-2</v>
      </c>
      <c r="AT494" s="50">
        <f>IF(head!F$82="S235",235,IF(head!F$82="S275",275,IF(head!F$82="S355",355,IF(head!F$82="S420",420,460))))*AS494*J494/1000</f>
        <v>144.78714953026847</v>
      </c>
      <c r="AU494" s="207" t="s">
        <v>47</v>
      </c>
      <c r="AV494" s="208" t="s">
        <v>47</v>
      </c>
      <c r="AW494" s="208" t="s">
        <v>47</v>
      </c>
      <c r="AX494" s="209" t="s">
        <v>47</v>
      </c>
      <c r="AY494" s="208" t="s">
        <v>47</v>
      </c>
      <c r="AZ494" s="197">
        <v>0</v>
      </c>
      <c r="BA494" s="97" t="str">
        <f t="shared" si="82"/>
        <v>HF CHS 127 x 14,2</v>
      </c>
    </row>
    <row r="495" spans="1:53">
      <c r="A495" s="82" t="s">
        <v>609</v>
      </c>
      <c r="B495" s="83">
        <f t="shared" si="83"/>
        <v>158.01590682112862</v>
      </c>
      <c r="C495" s="84">
        <v>127</v>
      </c>
      <c r="D495" s="84"/>
      <c r="E495" s="125" t="s">
        <v>830</v>
      </c>
      <c r="F495" s="84"/>
      <c r="G495" s="84"/>
      <c r="H495" s="85">
        <v>39.501807973189798</v>
      </c>
      <c r="I495" s="86">
        <v>40.256619590511896</v>
      </c>
      <c r="J495" s="86">
        <v>5032.0774488139878</v>
      </c>
      <c r="K495" s="86">
        <v>0.39898226700590372</v>
      </c>
      <c r="L495" s="87">
        <v>8130252.052887029</v>
      </c>
      <c r="M495" s="88">
        <v>128035.46539979572</v>
      </c>
      <c r="N495" s="88">
        <v>181632.95733333335</v>
      </c>
      <c r="O495" s="89">
        <v>40.195584334600738</v>
      </c>
      <c r="P495" s="88">
        <v>8130252.052887029</v>
      </c>
      <c r="Q495" s="88">
        <v>128035.46539979572</v>
      </c>
      <c r="R495" s="88">
        <v>181632.95733333335</v>
      </c>
      <c r="S495" s="86">
        <v>40.195584334600738</v>
      </c>
      <c r="T495" s="87">
        <v>16260504.105774058</v>
      </c>
      <c r="U495" s="119"/>
      <c r="V495" s="90">
        <v>1</v>
      </c>
      <c r="W495" s="91">
        <v>1</v>
      </c>
      <c r="X495" s="91">
        <v>1</v>
      </c>
      <c r="Y495" s="91">
        <v>1</v>
      </c>
      <c r="Z495" s="91">
        <v>1</v>
      </c>
      <c r="AA495" s="92">
        <v>1</v>
      </c>
      <c r="AB495" s="91">
        <v>1</v>
      </c>
      <c r="AC495" s="91">
        <v>1</v>
      </c>
      <c r="AD495" s="91">
        <v>1</v>
      </c>
      <c r="AE495" s="91">
        <v>1</v>
      </c>
      <c r="AF495" s="90">
        <v>1</v>
      </c>
      <c r="AG495" s="91">
        <v>1</v>
      </c>
      <c r="AH495" s="91">
        <v>1</v>
      </c>
      <c r="AI495" s="91">
        <v>1</v>
      </c>
      <c r="AJ495" s="91">
        <v>1</v>
      </c>
      <c r="AK495" s="210">
        <f t="shared" si="84"/>
        <v>79.287783438217943</v>
      </c>
      <c r="AL495" s="146"/>
      <c r="AM495" s="94"/>
      <c r="AN495" s="95"/>
      <c r="AO495" s="91" t="str">
        <f>IF(head!$F$82="S460","a0","a")</f>
        <v>a</v>
      </c>
      <c r="AP495" s="91">
        <f t="shared" si="79"/>
        <v>0.21</v>
      </c>
      <c r="AQ495" s="96">
        <f>IF(head!F$82="S235",235,IF(head!F$82="S275",275,IF(head!F$82="S355",355,IF(head!F$82="S420",420,460))))^0.5*head!$G$70*1000/(S495*3.1416*210000^0.5)</f>
        <v>3.2559317623564121</v>
      </c>
      <c r="AR495" s="96">
        <f t="shared" si="80"/>
        <v>6.121418655608089</v>
      </c>
      <c r="AS495" s="96">
        <f t="shared" si="81"/>
        <v>8.8455560354493715E-2</v>
      </c>
      <c r="AT495" s="50">
        <f>IF(head!F$82="S235",235,IF(head!F$82="S275",275,IF(head!F$82="S355",355,IF(head!F$82="S420",420,460))))*AS495*J495/1000</f>
        <v>158.01590682112862</v>
      </c>
      <c r="AU495" s="207" t="s">
        <v>47</v>
      </c>
      <c r="AV495" s="208" t="s">
        <v>47</v>
      </c>
      <c r="AW495" s="208" t="s">
        <v>47</v>
      </c>
      <c r="AX495" s="209" t="s">
        <v>47</v>
      </c>
      <c r="AY495" s="208" t="s">
        <v>47</v>
      </c>
      <c r="AZ495" s="197">
        <v>0</v>
      </c>
      <c r="BA495" s="97" t="str">
        <f t="shared" si="82"/>
        <v>HF CHS 127 x 16</v>
      </c>
    </row>
    <row r="496" spans="1:53">
      <c r="A496" s="82" t="s">
        <v>610</v>
      </c>
      <c r="B496" s="83">
        <f t="shared" si="83"/>
        <v>170.64264691278009</v>
      </c>
      <c r="C496" s="84">
        <v>127</v>
      </c>
      <c r="D496" s="84"/>
      <c r="E496" s="125" t="s">
        <v>831</v>
      </c>
      <c r="F496" s="84"/>
      <c r="G496" s="84"/>
      <c r="H496" s="85">
        <v>43.798828139287465</v>
      </c>
      <c r="I496" s="86">
        <v>44.63574842220379</v>
      </c>
      <c r="J496" s="86">
        <v>5579.4685527754727</v>
      </c>
      <c r="K496" s="86">
        <v>0.39898226700590372</v>
      </c>
      <c r="L496" s="87">
        <v>8771621.9985321406</v>
      </c>
      <c r="M496" s="88">
        <v>138135.77950444314</v>
      </c>
      <c r="N496" s="88">
        <v>198501.33333333331</v>
      </c>
      <c r="O496" s="89">
        <v>39.650031525838664</v>
      </c>
      <c r="P496" s="88">
        <v>8771621.9985321406</v>
      </c>
      <c r="Q496" s="88">
        <v>138135.77950444314</v>
      </c>
      <c r="R496" s="88">
        <v>198501.33333333331</v>
      </c>
      <c r="S496" s="86">
        <v>39.650031525838664</v>
      </c>
      <c r="T496" s="87">
        <v>17543243.997064281</v>
      </c>
      <c r="U496" s="119"/>
      <c r="V496" s="90">
        <v>1</v>
      </c>
      <c r="W496" s="91">
        <v>1</v>
      </c>
      <c r="X496" s="91">
        <v>1</v>
      </c>
      <c r="Y496" s="91">
        <v>1</v>
      </c>
      <c r="Z496" s="91">
        <v>1</v>
      </c>
      <c r="AA496" s="92">
        <v>1</v>
      </c>
      <c r="AB496" s="91">
        <v>1</v>
      </c>
      <c r="AC496" s="91">
        <v>1</v>
      </c>
      <c r="AD496" s="91">
        <v>1</v>
      </c>
      <c r="AE496" s="91">
        <v>1</v>
      </c>
      <c r="AF496" s="90">
        <v>1</v>
      </c>
      <c r="AG496" s="91">
        <v>1</v>
      </c>
      <c r="AH496" s="91">
        <v>1</v>
      </c>
      <c r="AI496" s="91">
        <v>1</v>
      </c>
      <c r="AJ496" s="91">
        <v>1</v>
      </c>
      <c r="AK496" s="210">
        <f t="shared" si="84"/>
        <v>71.509009009009006</v>
      </c>
      <c r="AL496" s="146"/>
      <c r="AM496" s="94"/>
      <c r="AN496" s="95"/>
      <c r="AO496" s="91" t="str">
        <f>IF(head!$F$82="S460","a0","a")</f>
        <v>a</v>
      </c>
      <c r="AP496" s="91">
        <f t="shared" si="79"/>
        <v>0.21</v>
      </c>
      <c r="AQ496" s="96">
        <f>IF(head!F$82="S235",235,IF(head!F$82="S275",275,IF(head!F$82="S355",355,IF(head!F$82="S420",420,460))))^0.5*head!$G$70*1000/(S496*3.1416*210000^0.5)</f>
        <v>3.3007307864614406</v>
      </c>
      <c r="AR496" s="96">
        <f t="shared" si="80"/>
        <v>6.2729885949256312</v>
      </c>
      <c r="AS496" s="96">
        <f t="shared" si="81"/>
        <v>8.6152203903228988E-2</v>
      </c>
      <c r="AT496" s="50">
        <f>IF(head!F$82="S235",235,IF(head!F$82="S275",275,IF(head!F$82="S355",355,IF(head!F$82="S420",420,460))))*AS496*J496/1000</f>
        <v>170.64264691278009</v>
      </c>
      <c r="AU496" s="207" t="s">
        <v>47</v>
      </c>
      <c r="AV496" s="208" t="s">
        <v>47</v>
      </c>
      <c r="AW496" s="208" t="s">
        <v>47</v>
      </c>
      <c r="AX496" s="209" t="s">
        <v>47</v>
      </c>
      <c r="AY496" s="208" t="s">
        <v>47</v>
      </c>
      <c r="AZ496" s="197">
        <v>0</v>
      </c>
      <c r="BA496" s="97" t="str">
        <f t="shared" si="82"/>
        <v>HF CHS 127 x 17,5</v>
      </c>
    </row>
    <row r="497" spans="1:53">
      <c r="A497" s="82" t="s">
        <v>611</v>
      </c>
      <c r="B497" s="83">
        <f t="shared" si="83"/>
        <v>180.15020405812939</v>
      </c>
      <c r="C497" s="84">
        <v>127</v>
      </c>
      <c r="D497" s="84"/>
      <c r="E497" s="125" t="s">
        <v>832</v>
      </c>
      <c r="F497" s="84"/>
      <c r="G497" s="84"/>
      <c r="H497" s="85">
        <v>47.257603841165313</v>
      </c>
      <c r="I497" s="86">
        <v>48.160615379531528</v>
      </c>
      <c r="J497" s="86">
        <v>6020.0769224414407</v>
      </c>
      <c r="K497" s="86">
        <v>0.39898226700590372</v>
      </c>
      <c r="L497" s="87">
        <v>9253234.4846001472</v>
      </c>
      <c r="M497" s="88">
        <v>145720.22810393933</v>
      </c>
      <c r="N497" s="88">
        <v>211615.83333333334</v>
      </c>
      <c r="O497" s="89">
        <v>39.205388660233943</v>
      </c>
      <c r="P497" s="88">
        <v>9253234.4846001472</v>
      </c>
      <c r="Q497" s="88">
        <v>145720.22810393933</v>
      </c>
      <c r="R497" s="88">
        <v>211615.83333333334</v>
      </c>
      <c r="S497" s="86">
        <v>39.205388660233943</v>
      </c>
      <c r="T497" s="87">
        <v>18506468.969200294</v>
      </c>
      <c r="U497" s="119"/>
      <c r="V497" s="90">
        <v>1</v>
      </c>
      <c r="W497" s="91">
        <v>1</v>
      </c>
      <c r="X497" s="91">
        <v>1</v>
      </c>
      <c r="Y497" s="91">
        <v>1</v>
      </c>
      <c r="Z497" s="91">
        <v>1</v>
      </c>
      <c r="AA497" s="92">
        <v>1</v>
      </c>
      <c r="AB497" s="91">
        <v>1</v>
      </c>
      <c r="AC497" s="91">
        <v>1</v>
      </c>
      <c r="AD497" s="91">
        <v>1</v>
      </c>
      <c r="AE497" s="91">
        <v>1</v>
      </c>
      <c r="AF497" s="90">
        <v>1</v>
      </c>
      <c r="AG497" s="91">
        <v>1</v>
      </c>
      <c r="AH497" s="91">
        <v>1</v>
      </c>
      <c r="AI497" s="91">
        <v>1</v>
      </c>
      <c r="AJ497" s="91">
        <v>1</v>
      </c>
      <c r="AK497" s="210">
        <f t="shared" si="84"/>
        <v>66.275277234181345</v>
      </c>
      <c r="AL497" s="146"/>
      <c r="AM497" s="94"/>
      <c r="AN497" s="95"/>
      <c r="AO497" s="91" t="str">
        <f>IF(head!$F$82="S460","a0","a")</f>
        <v>a</v>
      </c>
      <c r="AP497" s="91">
        <f t="shared" si="79"/>
        <v>0.21</v>
      </c>
      <c r="AQ497" s="96">
        <f>IF(head!F$82="S235",235,IF(head!F$82="S275",275,IF(head!F$82="S355",355,IF(head!F$82="S420",420,460))))^0.5*head!$G$70*1000/(S497*3.1416*210000^0.5)</f>
        <v>3.338165599522497</v>
      </c>
      <c r="AR497" s="96">
        <f t="shared" si="80"/>
        <v>6.401182172867558</v>
      </c>
      <c r="AS497" s="96">
        <f t="shared" si="81"/>
        <v>8.4295494905108959E-2</v>
      </c>
      <c r="AT497" s="50">
        <f>IF(head!F$82="S235",235,IF(head!F$82="S275",275,IF(head!F$82="S355",355,IF(head!F$82="S420",420,460))))*AS497*J497/1000</f>
        <v>180.15020405812939</v>
      </c>
      <c r="AU497" s="207" t="s">
        <v>47</v>
      </c>
      <c r="AV497" s="208" t="s">
        <v>47</v>
      </c>
      <c r="AW497" s="208" t="s">
        <v>47</v>
      </c>
      <c r="AX497" s="209" t="s">
        <v>47</v>
      </c>
      <c r="AY497" s="208" t="s">
        <v>47</v>
      </c>
      <c r="AZ497" s="197">
        <v>0</v>
      </c>
      <c r="BA497" s="97" t="str">
        <f t="shared" si="82"/>
        <v>HF CHS 127 x 20</v>
      </c>
    </row>
    <row r="498" spans="1:53">
      <c r="A498" s="82" t="s">
        <v>612</v>
      </c>
      <c r="B498" s="83">
        <f t="shared" si="83"/>
        <v>194.10382660305831</v>
      </c>
      <c r="C498" s="84">
        <v>127</v>
      </c>
      <c r="D498" s="84"/>
      <c r="E498" s="125" t="s">
        <v>833</v>
      </c>
      <c r="F498" s="84"/>
      <c r="G498" s="84"/>
      <c r="H498" s="85">
        <v>52.77561498765494</v>
      </c>
      <c r="I498" s="86">
        <v>53.784066229457267</v>
      </c>
      <c r="J498" s="86">
        <v>6723.0082786821577</v>
      </c>
      <c r="K498" s="86">
        <v>0.39898226700590372</v>
      </c>
      <c r="L498" s="87">
        <v>9957615.6367631108</v>
      </c>
      <c r="M498" s="88">
        <v>156812.84467343483</v>
      </c>
      <c r="N498" s="88">
        <v>231646.66666666669</v>
      </c>
      <c r="O498" s="89">
        <v>38.485386837084022</v>
      </c>
      <c r="P498" s="88">
        <v>9957615.6367631108</v>
      </c>
      <c r="Q498" s="88">
        <v>156812.84467343483</v>
      </c>
      <c r="R498" s="88">
        <v>231646.66666666669</v>
      </c>
      <c r="S498" s="86">
        <v>38.485386837084022</v>
      </c>
      <c r="T498" s="87">
        <v>19915231.273526222</v>
      </c>
      <c r="U498" s="119"/>
      <c r="V498" s="90">
        <v>1</v>
      </c>
      <c r="W498" s="91">
        <v>1</v>
      </c>
      <c r="X498" s="91">
        <v>1</v>
      </c>
      <c r="Y498" s="91">
        <v>1</v>
      </c>
      <c r="Z498" s="91">
        <v>1</v>
      </c>
      <c r="AA498" s="92">
        <v>1</v>
      </c>
      <c r="AB498" s="91">
        <v>1</v>
      </c>
      <c r="AC498" s="91">
        <v>1</v>
      </c>
      <c r="AD498" s="91">
        <v>1</v>
      </c>
      <c r="AE498" s="91">
        <v>1</v>
      </c>
      <c r="AF498" s="90">
        <v>1</v>
      </c>
      <c r="AG498" s="91">
        <v>1</v>
      </c>
      <c r="AH498" s="91">
        <v>1</v>
      </c>
      <c r="AI498" s="91">
        <v>1</v>
      </c>
      <c r="AJ498" s="91">
        <v>1</v>
      </c>
      <c r="AK498" s="210">
        <f t="shared" si="84"/>
        <v>59.345794392523359</v>
      </c>
      <c r="AL498" s="146"/>
      <c r="AM498" s="94"/>
      <c r="AN498" s="95"/>
      <c r="AO498" s="91" t="str">
        <f>IF(head!$F$82="S460","a0","a")</f>
        <v>a</v>
      </c>
      <c r="AP498" s="91">
        <f t="shared" si="79"/>
        <v>0.21</v>
      </c>
      <c r="AQ498" s="96">
        <f>IF(head!F$82="S235",235,IF(head!F$82="S275",275,IF(head!F$82="S355",355,IF(head!F$82="S420",420,460))))^0.5*head!$G$70*1000/(S498*3.1416*210000^0.5)</f>
        <v>3.4006174939988854</v>
      </c>
      <c r="AR498" s="96">
        <f t="shared" si="80"/>
        <v>6.6181645071155124</v>
      </c>
      <c r="AS498" s="96">
        <f t="shared" si="81"/>
        <v>8.1328375613870921E-2</v>
      </c>
      <c r="AT498" s="50">
        <f>IF(head!F$82="S235",235,IF(head!F$82="S275",275,IF(head!F$82="S355",355,IF(head!F$82="S420",420,460))))*AS498*J498/1000</f>
        <v>194.10382660305831</v>
      </c>
      <c r="AU498" s="207" t="s">
        <v>47</v>
      </c>
      <c r="AV498" s="208" t="s">
        <v>47</v>
      </c>
      <c r="AW498" s="208" t="s">
        <v>47</v>
      </c>
      <c r="AX498" s="209" t="s">
        <v>47</v>
      </c>
      <c r="AY498" s="208" t="s">
        <v>47</v>
      </c>
      <c r="AZ498" s="197">
        <v>0</v>
      </c>
      <c r="BA498" s="97" t="str">
        <f t="shared" si="82"/>
        <v>HF CHS 133 x 5</v>
      </c>
    </row>
    <row r="499" spans="1:53">
      <c r="A499" s="82" t="s">
        <v>613</v>
      </c>
      <c r="B499" s="83">
        <f t="shared" si="83"/>
        <v>79.430231257147085</v>
      </c>
      <c r="C499" s="84">
        <v>133</v>
      </c>
      <c r="D499" s="84"/>
      <c r="E499" s="125">
        <v>5</v>
      </c>
      <c r="F499" s="84"/>
      <c r="G499" s="84"/>
      <c r="H499" s="85">
        <v>15.783361491635121</v>
      </c>
      <c r="I499" s="86">
        <v>16.084954386379742</v>
      </c>
      <c r="J499" s="86">
        <v>2010.6192982974676</v>
      </c>
      <c r="K499" s="86">
        <v>0.41783182292744248</v>
      </c>
      <c r="L499" s="87">
        <v>4124031.5082203932</v>
      </c>
      <c r="M499" s="88">
        <v>62015.511401810421</v>
      </c>
      <c r="N499" s="88">
        <v>81961.666666666672</v>
      </c>
      <c r="O499" s="89">
        <v>45.289347533388025</v>
      </c>
      <c r="P499" s="88">
        <v>4124031.5082203932</v>
      </c>
      <c r="Q499" s="88">
        <v>62015.511401810421</v>
      </c>
      <c r="R499" s="88">
        <v>81961.666666666672</v>
      </c>
      <c r="S499" s="86">
        <v>45.289347533388025</v>
      </c>
      <c r="T499" s="87">
        <v>8248063.0164407864</v>
      </c>
      <c r="U499" s="119"/>
      <c r="V499" s="90">
        <v>1</v>
      </c>
      <c r="W499" s="91">
        <v>1</v>
      </c>
      <c r="X499" s="91">
        <v>1</v>
      </c>
      <c r="Y499" s="91">
        <v>1</v>
      </c>
      <c r="Z499" s="91">
        <v>2</v>
      </c>
      <c r="AA499" s="92">
        <v>1</v>
      </c>
      <c r="AB499" s="91">
        <v>1</v>
      </c>
      <c r="AC499" s="91">
        <v>2</v>
      </c>
      <c r="AD499" s="91">
        <v>2</v>
      </c>
      <c r="AE499" s="91">
        <v>3</v>
      </c>
      <c r="AF499" s="90">
        <v>1</v>
      </c>
      <c r="AG499" s="91">
        <v>1</v>
      </c>
      <c r="AH499" s="91">
        <v>2</v>
      </c>
      <c r="AI499" s="91">
        <v>2</v>
      </c>
      <c r="AJ499" s="91">
        <v>3</v>
      </c>
      <c r="AK499" s="210">
        <f t="shared" si="84"/>
        <v>207.8125</v>
      </c>
      <c r="AL499" s="146"/>
      <c r="AM499" s="94"/>
      <c r="AN499" s="95"/>
      <c r="AO499" s="91" t="str">
        <f>IF(head!$F$82="S460","a0","a")</f>
        <v>a</v>
      </c>
      <c r="AP499" s="91">
        <f t="shared" si="79"/>
        <v>0.21</v>
      </c>
      <c r="AQ499" s="96">
        <f>IF(head!F$82="S235",235,IF(head!F$82="S275",275,IF(head!F$82="S355",355,IF(head!F$82="S420",420,460))))^0.5*head!$G$70*1000/(S499*3.1416*210000^0.5)</f>
        <v>2.8897320643672315</v>
      </c>
      <c r="AR499" s="96">
        <f t="shared" si="80"/>
        <v>4.9576975686746101</v>
      </c>
      <c r="AS499" s="96">
        <f t="shared" si="81"/>
        <v>0.11128269309425468</v>
      </c>
      <c r="AT499" s="50">
        <f>IF(head!F$82="S235",235,IF(head!F$82="S275",275,IF(head!F$82="S355",355,IF(head!F$82="S420",420,460))))*AS499*J499/1000</f>
        <v>79.430231257147085</v>
      </c>
      <c r="AU499" s="207" t="s">
        <v>47</v>
      </c>
      <c r="AV499" s="208" t="s">
        <v>47</v>
      </c>
      <c r="AW499" s="208" t="s">
        <v>47</v>
      </c>
      <c r="AX499" s="209" t="s">
        <v>47</v>
      </c>
      <c r="AY499" s="208" t="s">
        <v>47</v>
      </c>
      <c r="AZ499" s="197">
        <v>0</v>
      </c>
      <c r="BA499" s="97" t="str">
        <f t="shared" si="82"/>
        <v>HF CHS 133 x 6,3</v>
      </c>
    </row>
    <row r="500" spans="1:53">
      <c r="A500" s="82" t="s">
        <v>614</v>
      </c>
      <c r="B500" s="83">
        <f t="shared" si="83"/>
        <v>97.232793890582769</v>
      </c>
      <c r="C500" s="84">
        <v>133</v>
      </c>
      <c r="D500" s="84"/>
      <c r="E500" s="125">
        <v>6.3</v>
      </c>
      <c r="F500" s="84"/>
      <c r="G500" s="84"/>
      <c r="H500" s="85">
        <v>19.685057775371977</v>
      </c>
      <c r="I500" s="86">
        <v>20.061205376175263</v>
      </c>
      <c r="J500" s="86">
        <v>2507.6506720219077</v>
      </c>
      <c r="K500" s="86">
        <v>0.41783182292744248</v>
      </c>
      <c r="L500" s="87">
        <v>5044321.1314457888</v>
      </c>
      <c r="M500" s="88">
        <v>75854.453104447952</v>
      </c>
      <c r="N500" s="88">
        <v>101216.55599999994</v>
      </c>
      <c r="O500" s="89">
        <v>44.850557410137057</v>
      </c>
      <c r="P500" s="88">
        <v>5044321.1314457888</v>
      </c>
      <c r="Q500" s="88">
        <v>75854.453104447952</v>
      </c>
      <c r="R500" s="88">
        <v>101216.55599999994</v>
      </c>
      <c r="S500" s="86">
        <v>44.850557410137057</v>
      </c>
      <c r="T500" s="87">
        <v>10088642.262891578</v>
      </c>
      <c r="U500" s="119"/>
      <c r="V500" s="90">
        <v>1</v>
      </c>
      <c r="W500" s="91">
        <v>1</v>
      </c>
      <c r="X500" s="91">
        <v>1</v>
      </c>
      <c r="Y500" s="91">
        <v>1</v>
      </c>
      <c r="Z500" s="91">
        <v>1</v>
      </c>
      <c r="AA500" s="92">
        <v>1</v>
      </c>
      <c r="AB500" s="91">
        <v>1</v>
      </c>
      <c r="AC500" s="91">
        <v>1</v>
      </c>
      <c r="AD500" s="91">
        <v>2</v>
      </c>
      <c r="AE500" s="91">
        <v>2</v>
      </c>
      <c r="AF500" s="90">
        <v>1</v>
      </c>
      <c r="AG500" s="91">
        <v>1</v>
      </c>
      <c r="AH500" s="91">
        <v>1</v>
      </c>
      <c r="AI500" s="91">
        <v>2</v>
      </c>
      <c r="AJ500" s="91">
        <v>2</v>
      </c>
      <c r="AK500" s="210">
        <f t="shared" si="84"/>
        <v>166.62281855652029</v>
      </c>
      <c r="AL500" s="146"/>
      <c r="AM500" s="94"/>
      <c r="AN500" s="95"/>
      <c r="AO500" s="91" t="str">
        <f>IF(head!$F$82="S460","a0","a")</f>
        <v>a</v>
      </c>
      <c r="AP500" s="91">
        <f t="shared" si="79"/>
        <v>0.21</v>
      </c>
      <c r="AQ500" s="96">
        <f>IF(head!F$82="S235",235,IF(head!F$82="S275",275,IF(head!F$82="S355",355,IF(head!F$82="S420",420,460))))^0.5*head!$G$70*1000/(S500*3.1416*210000^0.5)</f>
        <v>2.9180034162055337</v>
      </c>
      <c r="AR500" s="96">
        <f t="shared" si="80"/>
        <v>5.0427623271951632</v>
      </c>
      <c r="AS500" s="96">
        <f t="shared" si="81"/>
        <v>0.10922382336337906</v>
      </c>
      <c r="AT500" s="50">
        <f>IF(head!F$82="S235",235,IF(head!F$82="S275",275,IF(head!F$82="S355",355,IF(head!F$82="S420",420,460))))*AS500*J500/1000</f>
        <v>97.232793890582769</v>
      </c>
      <c r="AU500" s="207" t="s">
        <v>47</v>
      </c>
      <c r="AV500" s="208" t="s">
        <v>47</v>
      </c>
      <c r="AW500" s="208" t="s">
        <v>47</v>
      </c>
      <c r="AX500" s="209" t="s">
        <v>47</v>
      </c>
      <c r="AY500" s="208" t="s">
        <v>47</v>
      </c>
      <c r="AZ500" s="197">
        <v>0</v>
      </c>
      <c r="BA500" s="97" t="str">
        <f t="shared" si="82"/>
        <v>HF CHS 133 x 7,1</v>
      </c>
    </row>
    <row r="501" spans="1:53">
      <c r="A501" s="82" t="s">
        <v>615</v>
      </c>
      <c r="B501" s="83">
        <f t="shared" si="83"/>
        <v>107.64521727636911</v>
      </c>
      <c r="C501" s="84">
        <v>133</v>
      </c>
      <c r="D501" s="84"/>
      <c r="E501" s="125" t="s">
        <v>825</v>
      </c>
      <c r="F501" s="84"/>
      <c r="G501" s="84"/>
      <c r="H501" s="85">
        <v>22.044670318371441</v>
      </c>
      <c r="I501" s="86">
        <v>22.465906056939048</v>
      </c>
      <c r="J501" s="86">
        <v>2808.2382571173812</v>
      </c>
      <c r="K501" s="86">
        <v>0.41783182292744248</v>
      </c>
      <c r="L501" s="87">
        <v>5581801.7923550038</v>
      </c>
      <c r="M501" s="88">
        <v>83936.869057969991</v>
      </c>
      <c r="N501" s="88">
        <v>112660.05466666669</v>
      </c>
      <c r="O501" s="89">
        <v>44.583096572580054</v>
      </c>
      <c r="P501" s="88">
        <v>5581801.7923550038</v>
      </c>
      <c r="Q501" s="88">
        <v>83936.869057969991</v>
      </c>
      <c r="R501" s="88">
        <v>112660.05466666669</v>
      </c>
      <c r="S501" s="86">
        <v>44.583096572580054</v>
      </c>
      <c r="T501" s="87">
        <v>11163603.584710008</v>
      </c>
      <c r="U501" s="119"/>
      <c r="V501" s="90">
        <v>1</v>
      </c>
      <c r="W501" s="91">
        <v>1</v>
      </c>
      <c r="X501" s="91">
        <v>1</v>
      </c>
      <c r="Y501" s="91">
        <v>1</v>
      </c>
      <c r="Z501" s="91">
        <v>1</v>
      </c>
      <c r="AA501" s="92">
        <v>1</v>
      </c>
      <c r="AB501" s="91">
        <v>1</v>
      </c>
      <c r="AC501" s="91">
        <v>1</v>
      </c>
      <c r="AD501" s="91">
        <v>1</v>
      </c>
      <c r="AE501" s="91">
        <v>2</v>
      </c>
      <c r="AF501" s="90">
        <v>1</v>
      </c>
      <c r="AG501" s="91">
        <v>1</v>
      </c>
      <c r="AH501" s="91">
        <v>1</v>
      </c>
      <c r="AI501" s="91">
        <v>1</v>
      </c>
      <c r="AJ501" s="91">
        <v>2</v>
      </c>
      <c r="AK501" s="210">
        <f t="shared" si="84"/>
        <v>148.78788217789653</v>
      </c>
      <c r="AL501" s="146"/>
      <c r="AM501" s="94"/>
      <c r="AN501" s="95"/>
      <c r="AO501" s="91" t="str">
        <f>IF(head!$F$82="S460","a0","a")</f>
        <v>a</v>
      </c>
      <c r="AP501" s="91">
        <f t="shared" ref="AP501:AP564" si="85">IF(AO501="a0",0.13,IF(AO501="a",0.21,IF(AO501="b",0.34,IF(AO501="c",0.49,0.76))))</f>
        <v>0.21</v>
      </c>
      <c r="AQ501" s="96">
        <f>IF(head!F$82="S235",235,IF(head!F$82="S275",275,IF(head!F$82="S355",355,IF(head!F$82="S420",420,460))))^0.5*head!$G$70*1000/(S501*3.1416*210000^0.5)</f>
        <v>2.9355089664631744</v>
      </c>
      <c r="AR501" s="96">
        <f t="shared" ref="AR501:AR564" si="86">0.5*(1+AP501*(AQ501-0.2)+AQ501^2)</f>
        <v>5.0958348875714803</v>
      </c>
      <c r="AS501" s="96">
        <f t="shared" ref="AS501:AS564" si="87">IF(AQ501&lt;=0.2,1,1/(AR501+(AR501^2-AQ501^2)^0.5))</f>
        <v>0.10797729266392218</v>
      </c>
      <c r="AT501" s="50">
        <f>IF(head!F$82="S235",235,IF(head!F$82="S275",275,IF(head!F$82="S355",355,IF(head!F$82="S420",420,460))))*AS501*J501/1000</f>
        <v>107.64521727636911</v>
      </c>
      <c r="AU501" s="207" t="s">
        <v>47</v>
      </c>
      <c r="AV501" s="208" t="s">
        <v>47</v>
      </c>
      <c r="AW501" s="208" t="s">
        <v>47</v>
      </c>
      <c r="AX501" s="209" t="s">
        <v>47</v>
      </c>
      <c r="AY501" s="208" t="s">
        <v>47</v>
      </c>
      <c r="AZ501" s="197">
        <v>0</v>
      </c>
      <c r="BA501" s="97" t="str">
        <f t="shared" ref="BA501:BA564" si="88">A502</f>
        <v>HF CHS 133 x 8</v>
      </c>
    </row>
    <row r="502" spans="1:53">
      <c r="A502" s="82" t="s">
        <v>616</v>
      </c>
      <c r="B502" s="83">
        <f t="shared" si="83"/>
        <v>118.88020228917351</v>
      </c>
      <c r="C502" s="84">
        <v>133</v>
      </c>
      <c r="D502" s="84"/>
      <c r="E502" s="125">
        <v>8</v>
      </c>
      <c r="F502" s="84"/>
      <c r="G502" s="84"/>
      <c r="H502" s="85">
        <v>24.661502330679873</v>
      </c>
      <c r="I502" s="86">
        <v>25.132741228718341</v>
      </c>
      <c r="J502" s="86">
        <v>3141.5926535897929</v>
      </c>
      <c r="K502" s="86">
        <v>0.41783182292744248</v>
      </c>
      <c r="L502" s="87">
        <v>6161055.8927712832</v>
      </c>
      <c r="M502" s="88">
        <v>92647.45703415462</v>
      </c>
      <c r="N502" s="88">
        <v>125170.66666666666</v>
      </c>
      <c r="O502" s="89">
        <v>44.284590999579081</v>
      </c>
      <c r="P502" s="88">
        <v>6161055.8927712832</v>
      </c>
      <c r="Q502" s="88">
        <v>92647.45703415462</v>
      </c>
      <c r="R502" s="88">
        <v>125170.66666666666</v>
      </c>
      <c r="S502" s="86">
        <v>44.284590999579081</v>
      </c>
      <c r="T502" s="87">
        <v>12322111.785542566</v>
      </c>
      <c r="U502" s="119"/>
      <c r="V502" s="90">
        <v>1</v>
      </c>
      <c r="W502" s="91">
        <v>1</v>
      </c>
      <c r="X502" s="91">
        <v>1</v>
      </c>
      <c r="Y502" s="91">
        <v>1</v>
      </c>
      <c r="Z502" s="91">
        <v>1</v>
      </c>
      <c r="AA502" s="92">
        <v>1</v>
      </c>
      <c r="AB502" s="91">
        <v>1</v>
      </c>
      <c r="AC502" s="91">
        <v>1</v>
      </c>
      <c r="AD502" s="91">
        <v>1</v>
      </c>
      <c r="AE502" s="91">
        <v>1</v>
      </c>
      <c r="AF502" s="90">
        <v>1</v>
      </c>
      <c r="AG502" s="91">
        <v>1</v>
      </c>
      <c r="AH502" s="91">
        <v>1</v>
      </c>
      <c r="AI502" s="91">
        <v>1</v>
      </c>
      <c r="AJ502" s="91">
        <v>1</v>
      </c>
      <c r="AK502" s="210">
        <f t="shared" si="84"/>
        <v>133</v>
      </c>
      <c r="AL502" s="146"/>
      <c r="AM502" s="94"/>
      <c r="AN502" s="95"/>
      <c r="AO502" s="91" t="str">
        <f>IF(head!$F$82="S460","a0","a")</f>
        <v>a</v>
      </c>
      <c r="AP502" s="91">
        <f t="shared" si="85"/>
        <v>0.21</v>
      </c>
      <c r="AQ502" s="96">
        <f>IF(head!F$82="S235",235,IF(head!F$82="S275",275,IF(head!F$82="S355",355,IF(head!F$82="S420",420,460))))^0.5*head!$G$70*1000/(S502*3.1416*210000^0.5)</f>
        <v>2.9552961151373465</v>
      </c>
      <c r="AR502" s="96">
        <f t="shared" si="86"/>
        <v>5.1561936561623671</v>
      </c>
      <c r="AS502" s="96">
        <f t="shared" si="87"/>
        <v>0.10659364411316291</v>
      </c>
      <c r="AT502" s="50">
        <f>IF(head!F$82="S235",235,IF(head!F$82="S275",275,IF(head!F$82="S355",355,IF(head!F$82="S420",420,460))))*AS502*J502/1000</f>
        <v>118.88020228917351</v>
      </c>
      <c r="AU502" s="207" t="s">
        <v>47</v>
      </c>
      <c r="AV502" s="208" t="s">
        <v>47</v>
      </c>
      <c r="AW502" s="208" t="s">
        <v>47</v>
      </c>
      <c r="AX502" s="209" t="s">
        <v>47</v>
      </c>
      <c r="AY502" s="208" t="s">
        <v>47</v>
      </c>
      <c r="AZ502" s="197">
        <v>0</v>
      </c>
      <c r="BA502" s="97" t="str">
        <f t="shared" si="88"/>
        <v>HF CHS 133 x 10</v>
      </c>
    </row>
    <row r="503" spans="1:53">
      <c r="A503" s="82" t="s">
        <v>617</v>
      </c>
      <c r="B503" s="83">
        <f t="shared" si="83"/>
        <v>142.10235774847646</v>
      </c>
      <c r="C503" s="84">
        <v>133</v>
      </c>
      <c r="D503" s="84"/>
      <c r="E503" s="125" t="s">
        <v>828</v>
      </c>
      <c r="F503" s="84"/>
      <c r="G503" s="84"/>
      <c r="H503" s="85">
        <v>30.333647866736243</v>
      </c>
      <c r="I503" s="86">
        <v>30.91327171132356</v>
      </c>
      <c r="J503" s="86">
        <v>3864.1589639154454</v>
      </c>
      <c r="K503" s="86">
        <v>0.41783182292744248</v>
      </c>
      <c r="L503" s="87">
        <v>7355909.6076835413</v>
      </c>
      <c r="M503" s="88">
        <v>110615.1820704292</v>
      </c>
      <c r="N503" s="88">
        <v>151623.33333333334</v>
      </c>
      <c r="O503" s="89">
        <v>43.630551222738411</v>
      </c>
      <c r="P503" s="88">
        <v>7355909.6076835413</v>
      </c>
      <c r="Q503" s="88">
        <v>110615.1820704292</v>
      </c>
      <c r="R503" s="88">
        <v>151623.33333333334</v>
      </c>
      <c r="S503" s="86">
        <v>43.630551222738411</v>
      </c>
      <c r="T503" s="87">
        <v>14711819.215367083</v>
      </c>
      <c r="U503" s="119"/>
      <c r="V503" s="90">
        <v>1</v>
      </c>
      <c r="W503" s="91">
        <v>1</v>
      </c>
      <c r="X503" s="91">
        <v>1</v>
      </c>
      <c r="Y503" s="91">
        <v>1</v>
      </c>
      <c r="Z503" s="91">
        <v>1</v>
      </c>
      <c r="AA503" s="92">
        <v>1</v>
      </c>
      <c r="AB503" s="91">
        <v>1</v>
      </c>
      <c r="AC503" s="91">
        <v>1</v>
      </c>
      <c r="AD503" s="91">
        <v>1</v>
      </c>
      <c r="AE503" s="91">
        <v>1</v>
      </c>
      <c r="AF503" s="90">
        <v>1</v>
      </c>
      <c r="AG503" s="91">
        <v>1</v>
      </c>
      <c r="AH503" s="91">
        <v>1</v>
      </c>
      <c r="AI503" s="91">
        <v>1</v>
      </c>
      <c r="AJ503" s="91">
        <v>1</v>
      </c>
      <c r="AK503" s="210">
        <f t="shared" si="84"/>
        <v>108.13008130081302</v>
      </c>
      <c r="AL503" s="146"/>
      <c r="AM503" s="94"/>
      <c r="AN503" s="95"/>
      <c r="AO503" s="91" t="str">
        <f>IF(head!$F$82="S460","a0","a")</f>
        <v>a</v>
      </c>
      <c r="AP503" s="91">
        <f t="shared" si="85"/>
        <v>0.21</v>
      </c>
      <c r="AQ503" s="96">
        <f>IF(head!F$82="S235",235,IF(head!F$82="S275",275,IF(head!F$82="S355",355,IF(head!F$82="S420",420,460))))^0.5*head!$G$70*1000/(S503*3.1416*210000^0.5)</f>
        <v>2.9995972105274773</v>
      </c>
      <c r="AR503" s="96">
        <f t="shared" si="86"/>
        <v>5.292749419807496</v>
      </c>
      <c r="AS503" s="96">
        <f t="shared" si="87"/>
        <v>0.10359002707286352</v>
      </c>
      <c r="AT503" s="50">
        <f>IF(head!F$82="S235",235,IF(head!F$82="S275",275,IF(head!F$82="S355",355,IF(head!F$82="S420",420,460))))*AS503*J503/1000</f>
        <v>142.10235774847646</v>
      </c>
      <c r="AU503" s="207" t="s">
        <v>47</v>
      </c>
      <c r="AV503" s="208" t="s">
        <v>47</v>
      </c>
      <c r="AW503" s="208" t="s">
        <v>47</v>
      </c>
      <c r="AX503" s="209" t="s">
        <v>47</v>
      </c>
      <c r="AY503" s="208" t="s">
        <v>47</v>
      </c>
      <c r="AZ503" s="197">
        <v>0</v>
      </c>
      <c r="BA503" s="97" t="str">
        <f t="shared" si="88"/>
        <v>HF CHS 133 x 12,5</v>
      </c>
    </row>
    <row r="504" spans="1:53">
      <c r="A504" s="82" t="s">
        <v>618</v>
      </c>
      <c r="B504" s="83">
        <f t="shared" si="83"/>
        <v>167.94365366462577</v>
      </c>
      <c r="C504" s="84">
        <v>133</v>
      </c>
      <c r="D504" s="84"/>
      <c r="E504" s="125" t="s">
        <v>829</v>
      </c>
      <c r="F504" s="84"/>
      <c r="G504" s="84"/>
      <c r="H504" s="85">
        <v>37.146387885586556</v>
      </c>
      <c r="I504" s="86">
        <v>37.856191475757001</v>
      </c>
      <c r="J504" s="86">
        <v>4732.0239344696256</v>
      </c>
      <c r="K504" s="86">
        <v>0.41783182292744248</v>
      </c>
      <c r="L504" s="87">
        <v>8681193.6592804324</v>
      </c>
      <c r="M504" s="88">
        <v>130544.26555308922</v>
      </c>
      <c r="N504" s="88">
        <v>182154.16666666666</v>
      </c>
      <c r="O504" s="89">
        <v>42.831793098118133</v>
      </c>
      <c r="P504" s="88">
        <v>8681193.6592804324</v>
      </c>
      <c r="Q504" s="88">
        <v>130544.26555308922</v>
      </c>
      <c r="R504" s="88">
        <v>182154.16666666666</v>
      </c>
      <c r="S504" s="86">
        <v>42.831793098118133</v>
      </c>
      <c r="T504" s="87">
        <v>17362387.318560865</v>
      </c>
      <c r="U504" s="119"/>
      <c r="V504" s="90">
        <v>1</v>
      </c>
      <c r="W504" s="91">
        <v>1</v>
      </c>
      <c r="X504" s="91">
        <v>1</v>
      </c>
      <c r="Y504" s="91">
        <v>1</v>
      </c>
      <c r="Z504" s="91">
        <v>1</v>
      </c>
      <c r="AA504" s="92">
        <v>1</v>
      </c>
      <c r="AB504" s="91">
        <v>1</v>
      </c>
      <c r="AC504" s="91">
        <v>1</v>
      </c>
      <c r="AD504" s="91">
        <v>1</v>
      </c>
      <c r="AE504" s="91">
        <v>1</v>
      </c>
      <c r="AF504" s="90">
        <v>1</v>
      </c>
      <c r="AG504" s="91">
        <v>1</v>
      </c>
      <c r="AH504" s="91">
        <v>1</v>
      </c>
      <c r="AI504" s="91">
        <v>1</v>
      </c>
      <c r="AJ504" s="91">
        <v>1</v>
      </c>
      <c r="AK504" s="210">
        <f t="shared" si="84"/>
        <v>88.298755186721991</v>
      </c>
      <c r="AL504" s="146"/>
      <c r="AM504" s="94"/>
      <c r="AN504" s="95"/>
      <c r="AO504" s="91" t="str">
        <f>IF(head!$F$82="S460","a0","a")</f>
        <v>a</v>
      </c>
      <c r="AP504" s="91">
        <f t="shared" si="85"/>
        <v>0.21</v>
      </c>
      <c r="AQ504" s="96">
        <f>IF(head!F$82="S235",235,IF(head!F$82="S275",275,IF(head!F$82="S355",355,IF(head!F$82="S420",420,460))))^0.5*head!$G$70*1000/(S504*3.1416*210000^0.5)</f>
        <v>3.0555358595821298</v>
      </c>
      <c r="AR504" s="96">
        <f t="shared" si="86"/>
        <v>5.4679809598522766</v>
      </c>
      <c r="AS504" s="96">
        <f t="shared" si="87"/>
        <v>9.9974286077076951E-2</v>
      </c>
      <c r="AT504" s="50">
        <f>IF(head!F$82="S235",235,IF(head!F$82="S275",275,IF(head!F$82="S355",355,IF(head!F$82="S420",420,460))))*AS504*J504/1000</f>
        <v>167.94365366462577</v>
      </c>
      <c r="AU504" s="207" t="s">
        <v>47</v>
      </c>
      <c r="AV504" s="208" t="s">
        <v>47</v>
      </c>
      <c r="AW504" s="208" t="s">
        <v>47</v>
      </c>
      <c r="AX504" s="209" t="s">
        <v>47</v>
      </c>
      <c r="AY504" s="208" t="s">
        <v>47</v>
      </c>
      <c r="AZ504" s="197">
        <v>0</v>
      </c>
      <c r="BA504" s="97" t="str">
        <f t="shared" si="88"/>
        <v>HF CHS 133 x 14,2</v>
      </c>
    </row>
    <row r="505" spans="1:53">
      <c r="A505" s="82" t="s">
        <v>619</v>
      </c>
      <c r="B505" s="83">
        <f t="shared" si="83"/>
        <v>183.63333352390129</v>
      </c>
      <c r="C505" s="84">
        <v>133</v>
      </c>
      <c r="D505" s="84"/>
      <c r="E505" s="125" t="s">
        <v>830</v>
      </c>
      <c r="F505" s="84"/>
      <c r="G505" s="84"/>
      <c r="H505" s="85">
        <v>41.602967971763732</v>
      </c>
      <c r="I505" s="86">
        <v>42.397929143198709</v>
      </c>
      <c r="J505" s="86">
        <v>5299.7411428998394</v>
      </c>
      <c r="K505" s="86">
        <v>0.41783182292744248</v>
      </c>
      <c r="L505" s="87">
        <v>9483277.3049878273</v>
      </c>
      <c r="M505" s="88">
        <v>142605.67375921545</v>
      </c>
      <c r="N505" s="88">
        <v>201365.27733333339</v>
      </c>
      <c r="O505" s="89">
        <v>42.301122916537331</v>
      </c>
      <c r="P505" s="88">
        <v>9483277.3049878273</v>
      </c>
      <c r="Q505" s="88">
        <v>142605.67375921545</v>
      </c>
      <c r="R505" s="88">
        <v>201365.27733333339</v>
      </c>
      <c r="S505" s="86">
        <v>42.301122916537331</v>
      </c>
      <c r="T505" s="87">
        <v>18966554.609975655</v>
      </c>
      <c r="U505" s="119"/>
      <c r="V505" s="90">
        <v>1</v>
      </c>
      <c r="W505" s="91">
        <v>1</v>
      </c>
      <c r="X505" s="91">
        <v>1</v>
      </c>
      <c r="Y505" s="91">
        <v>1</v>
      </c>
      <c r="Z505" s="91">
        <v>1</v>
      </c>
      <c r="AA505" s="92">
        <v>1</v>
      </c>
      <c r="AB505" s="91">
        <v>1</v>
      </c>
      <c r="AC505" s="91">
        <v>1</v>
      </c>
      <c r="AD505" s="91">
        <v>1</v>
      </c>
      <c r="AE505" s="91">
        <v>1</v>
      </c>
      <c r="AF505" s="90">
        <v>1</v>
      </c>
      <c r="AG505" s="91">
        <v>1</v>
      </c>
      <c r="AH505" s="91">
        <v>1</v>
      </c>
      <c r="AI505" s="91">
        <v>1</v>
      </c>
      <c r="AJ505" s="91">
        <v>1</v>
      </c>
      <c r="AK505" s="210">
        <f t="shared" si="84"/>
        <v>78.840043628775987</v>
      </c>
      <c r="AL505" s="146"/>
      <c r="AM505" s="94"/>
      <c r="AN505" s="95"/>
      <c r="AO505" s="91" t="str">
        <f>IF(head!$F$82="S460","a0","a")</f>
        <v>a</v>
      </c>
      <c r="AP505" s="91">
        <f t="shared" si="85"/>
        <v>0.21</v>
      </c>
      <c r="AQ505" s="96">
        <f>IF(head!F$82="S235",235,IF(head!F$82="S275",275,IF(head!F$82="S355",355,IF(head!F$82="S420",420,460))))^0.5*head!$G$70*1000/(S505*3.1416*210000^0.5)</f>
        <v>3.0938677443557423</v>
      </c>
      <c r="AR505" s="96">
        <f t="shared" si="86"/>
        <v>5.5898649229397979</v>
      </c>
      <c r="AS505" s="96">
        <f t="shared" si="87"/>
        <v>9.7604200260795929E-2</v>
      </c>
      <c r="AT505" s="50">
        <f>IF(head!F$82="S235",235,IF(head!F$82="S275",275,IF(head!F$82="S355",355,IF(head!F$82="S420",420,460))))*AS505*J505/1000</f>
        <v>183.63333352390129</v>
      </c>
      <c r="AU505" s="207" t="s">
        <v>47</v>
      </c>
      <c r="AV505" s="208" t="s">
        <v>47</v>
      </c>
      <c r="AW505" s="208" t="s">
        <v>47</v>
      </c>
      <c r="AX505" s="209" t="s">
        <v>47</v>
      </c>
      <c r="AY505" s="208" t="s">
        <v>47</v>
      </c>
      <c r="AZ505" s="197">
        <v>0</v>
      </c>
      <c r="BA505" s="97" t="str">
        <f t="shared" si="88"/>
        <v>HF CHS 133 x 16</v>
      </c>
    </row>
    <row r="506" spans="1:53">
      <c r="A506" s="82" t="s">
        <v>620</v>
      </c>
      <c r="B506" s="83">
        <f t="shared" si="83"/>
        <v>198.70068490227789</v>
      </c>
      <c r="C506" s="84">
        <v>133</v>
      </c>
      <c r="D506" s="84"/>
      <c r="E506" s="125" t="s">
        <v>831</v>
      </c>
      <c r="F506" s="84"/>
      <c r="G506" s="84"/>
      <c r="H506" s="85">
        <v>46.16633236303273</v>
      </c>
      <c r="I506" s="86">
        <v>47.048491580160743</v>
      </c>
      <c r="J506" s="86">
        <v>5881.0614475200928</v>
      </c>
      <c r="K506" s="86">
        <v>0.41783182292744248</v>
      </c>
      <c r="L506" s="87">
        <v>10251425.235708462</v>
      </c>
      <c r="M506" s="88">
        <v>154156.77046178139</v>
      </c>
      <c r="N506" s="88">
        <v>220389.33333333331</v>
      </c>
      <c r="O506" s="89">
        <v>41.750748496284473</v>
      </c>
      <c r="P506" s="88">
        <v>10251425.235708462</v>
      </c>
      <c r="Q506" s="88">
        <v>154156.77046178139</v>
      </c>
      <c r="R506" s="88">
        <v>220389.33333333331</v>
      </c>
      <c r="S506" s="86">
        <v>41.750748496284473</v>
      </c>
      <c r="T506" s="87">
        <v>20502850.471416924</v>
      </c>
      <c r="U506" s="119"/>
      <c r="V506" s="90">
        <v>1</v>
      </c>
      <c r="W506" s="91">
        <v>1</v>
      </c>
      <c r="X506" s="91">
        <v>1</v>
      </c>
      <c r="Y506" s="91">
        <v>1</v>
      </c>
      <c r="Z506" s="91">
        <v>1</v>
      </c>
      <c r="AA506" s="92">
        <v>1</v>
      </c>
      <c r="AB506" s="91">
        <v>1</v>
      </c>
      <c r="AC506" s="91">
        <v>1</v>
      </c>
      <c r="AD506" s="91">
        <v>1</v>
      </c>
      <c r="AE506" s="91">
        <v>1</v>
      </c>
      <c r="AF506" s="90">
        <v>1</v>
      </c>
      <c r="AG506" s="91">
        <v>1</v>
      </c>
      <c r="AH506" s="91">
        <v>1</v>
      </c>
      <c r="AI506" s="91">
        <v>1</v>
      </c>
      <c r="AJ506" s="91">
        <v>1</v>
      </c>
      <c r="AK506" s="210">
        <f t="shared" si="84"/>
        <v>71.047008547008545</v>
      </c>
      <c r="AL506" s="146"/>
      <c r="AM506" s="94"/>
      <c r="AN506" s="95"/>
      <c r="AO506" s="91" t="str">
        <f>IF(head!$F$82="S460","a0","a")</f>
        <v>a</v>
      </c>
      <c r="AP506" s="91">
        <f t="shared" si="85"/>
        <v>0.21</v>
      </c>
      <c r="AQ506" s="96">
        <f>IF(head!F$82="S235",235,IF(head!F$82="S275",275,IF(head!F$82="S355",355,IF(head!F$82="S420",420,460))))^0.5*head!$G$70*1000/(S506*3.1416*210000^0.5)</f>
        <v>3.1346522985845211</v>
      </c>
      <c r="AR506" s="96">
        <f t="shared" si="86"/>
        <v>5.7211610078619852</v>
      </c>
      <c r="AS506" s="96">
        <f t="shared" si="87"/>
        <v>9.5173336336651815E-2</v>
      </c>
      <c r="AT506" s="50">
        <f>IF(head!F$82="S235",235,IF(head!F$82="S275",275,IF(head!F$82="S355",355,IF(head!F$82="S420",420,460))))*AS506*J506/1000</f>
        <v>198.70068490227789</v>
      </c>
      <c r="AU506" s="207" t="s">
        <v>47</v>
      </c>
      <c r="AV506" s="208" t="s">
        <v>47</v>
      </c>
      <c r="AW506" s="208" t="s">
        <v>47</v>
      </c>
      <c r="AX506" s="209" t="s">
        <v>47</v>
      </c>
      <c r="AY506" s="208" t="s">
        <v>47</v>
      </c>
      <c r="AZ506" s="197">
        <v>0</v>
      </c>
      <c r="BA506" s="97" t="str">
        <f t="shared" si="88"/>
        <v>HF CHS 133 x 17,5</v>
      </c>
    </row>
    <row r="507" spans="1:53">
      <c r="A507" s="82" t="s">
        <v>621</v>
      </c>
      <c r="B507" s="83">
        <f t="shared" si="83"/>
        <v>210.11609057742589</v>
      </c>
      <c r="C507" s="84">
        <v>133</v>
      </c>
      <c r="D507" s="84"/>
      <c r="E507" s="125" t="s">
        <v>832</v>
      </c>
      <c r="F507" s="84"/>
      <c r="G507" s="84"/>
      <c r="H507" s="85">
        <v>49.847061585886692</v>
      </c>
      <c r="I507" s="86">
        <v>50.799553208546946</v>
      </c>
      <c r="J507" s="86">
        <v>6349.9441510683691</v>
      </c>
      <c r="K507" s="86">
        <v>0.41783182292744248</v>
      </c>
      <c r="L507" s="87">
        <v>10831814.107194312</v>
      </c>
      <c r="M507" s="88">
        <v>162884.42266457609</v>
      </c>
      <c r="N507" s="88">
        <v>235240.83333333334</v>
      </c>
      <c r="O507" s="89">
        <v>41.301483024220815</v>
      </c>
      <c r="P507" s="88">
        <v>10831814.107194312</v>
      </c>
      <c r="Q507" s="88">
        <v>162884.42266457609</v>
      </c>
      <c r="R507" s="88">
        <v>235240.83333333334</v>
      </c>
      <c r="S507" s="86">
        <v>41.301483024220815</v>
      </c>
      <c r="T507" s="87">
        <v>21663628.214388624</v>
      </c>
      <c r="U507" s="119"/>
      <c r="V507" s="90">
        <v>1</v>
      </c>
      <c r="W507" s="91">
        <v>1</v>
      </c>
      <c r="X507" s="91">
        <v>1</v>
      </c>
      <c r="Y507" s="91">
        <v>1</v>
      </c>
      <c r="Z507" s="91">
        <v>1</v>
      </c>
      <c r="AA507" s="92">
        <v>1</v>
      </c>
      <c r="AB507" s="91">
        <v>1</v>
      </c>
      <c r="AC507" s="91">
        <v>1</v>
      </c>
      <c r="AD507" s="91">
        <v>1</v>
      </c>
      <c r="AE507" s="91">
        <v>1</v>
      </c>
      <c r="AF507" s="90">
        <v>1</v>
      </c>
      <c r="AG507" s="91">
        <v>1</v>
      </c>
      <c r="AH507" s="91">
        <v>1</v>
      </c>
      <c r="AI507" s="91">
        <v>1</v>
      </c>
      <c r="AJ507" s="91">
        <v>1</v>
      </c>
      <c r="AK507" s="210">
        <f t="shared" si="84"/>
        <v>65.800865800865807</v>
      </c>
      <c r="AL507" s="146"/>
      <c r="AM507" s="94"/>
      <c r="AN507" s="95"/>
      <c r="AO507" s="91" t="str">
        <f>IF(head!$F$82="S460","a0","a")</f>
        <v>a</v>
      </c>
      <c r="AP507" s="91">
        <f t="shared" si="85"/>
        <v>0.21</v>
      </c>
      <c r="AQ507" s="96">
        <f>IF(head!F$82="S235",235,IF(head!F$82="S275",275,IF(head!F$82="S355",355,IF(head!F$82="S420",420,460))))^0.5*head!$G$70*1000/(S507*3.1416*210000^0.5)</f>
        <v>3.168750130951778</v>
      </c>
      <c r="AR507" s="96">
        <f t="shared" si="86"/>
        <v>5.8322074599533922</v>
      </c>
      <c r="AS507" s="96">
        <f t="shared" si="87"/>
        <v>9.3209687739714123E-2</v>
      </c>
      <c r="AT507" s="50">
        <f>IF(head!F$82="S235",235,IF(head!F$82="S275",275,IF(head!F$82="S355",355,IF(head!F$82="S420",420,460))))*AS507*J507/1000</f>
        <v>210.11609057742589</v>
      </c>
      <c r="AU507" s="207" t="s">
        <v>47</v>
      </c>
      <c r="AV507" s="208" t="s">
        <v>47</v>
      </c>
      <c r="AW507" s="208" t="s">
        <v>47</v>
      </c>
      <c r="AX507" s="209" t="s">
        <v>47</v>
      </c>
      <c r="AY507" s="208" t="s">
        <v>47</v>
      </c>
      <c r="AZ507" s="197">
        <v>0</v>
      </c>
      <c r="BA507" s="97" t="str">
        <f t="shared" si="88"/>
        <v>HF CHS 133 x 20</v>
      </c>
    </row>
    <row r="508" spans="1:53">
      <c r="A508" s="82" t="s">
        <v>622</v>
      </c>
      <c r="B508" s="83">
        <f t="shared" si="83"/>
        <v>227.00372693822601</v>
      </c>
      <c r="C508" s="84">
        <v>133</v>
      </c>
      <c r="D508" s="84"/>
      <c r="E508" s="125" t="s">
        <v>833</v>
      </c>
      <c r="F508" s="84"/>
      <c r="G508" s="84"/>
      <c r="H508" s="85">
        <v>55.734995267336515</v>
      </c>
      <c r="I508" s="86">
        <v>56.799995176903458</v>
      </c>
      <c r="J508" s="86">
        <v>7099.9993971129325</v>
      </c>
      <c r="K508" s="86">
        <v>0.41783182292744248</v>
      </c>
      <c r="L508" s="87">
        <v>11687486.507572526</v>
      </c>
      <c r="M508" s="88">
        <v>175751.67680560186</v>
      </c>
      <c r="N508" s="88">
        <v>258046.66666666669</v>
      </c>
      <c r="O508" s="89">
        <v>40.572466033013079</v>
      </c>
      <c r="P508" s="88">
        <v>11687486.507572526</v>
      </c>
      <c r="Q508" s="88">
        <v>175751.67680560186</v>
      </c>
      <c r="R508" s="88">
        <v>258046.66666666669</v>
      </c>
      <c r="S508" s="86">
        <v>40.572466033013079</v>
      </c>
      <c r="T508" s="87">
        <v>23374973.015145052</v>
      </c>
      <c r="U508" s="119"/>
      <c r="V508" s="90">
        <v>1</v>
      </c>
      <c r="W508" s="91">
        <v>1</v>
      </c>
      <c r="X508" s="91">
        <v>1</v>
      </c>
      <c r="Y508" s="91">
        <v>1</v>
      </c>
      <c r="Z508" s="91">
        <v>1</v>
      </c>
      <c r="AA508" s="92">
        <v>1</v>
      </c>
      <c r="AB508" s="91">
        <v>1</v>
      </c>
      <c r="AC508" s="91">
        <v>1</v>
      </c>
      <c r="AD508" s="91">
        <v>1</v>
      </c>
      <c r="AE508" s="91">
        <v>1</v>
      </c>
      <c r="AF508" s="90">
        <v>1</v>
      </c>
      <c r="AG508" s="91">
        <v>1</v>
      </c>
      <c r="AH508" s="91">
        <v>1</v>
      </c>
      <c r="AI508" s="91">
        <v>1</v>
      </c>
      <c r="AJ508" s="91">
        <v>1</v>
      </c>
      <c r="AK508" s="210">
        <f t="shared" si="84"/>
        <v>58.849557522123888</v>
      </c>
      <c r="AL508" s="146"/>
      <c r="AM508" s="94"/>
      <c r="AN508" s="95"/>
      <c r="AO508" s="91" t="str">
        <f>IF(head!$F$82="S460","a0","a")</f>
        <v>a</v>
      </c>
      <c r="AP508" s="91">
        <f t="shared" si="85"/>
        <v>0.21</v>
      </c>
      <c r="AQ508" s="96">
        <f>IF(head!F$82="S235",235,IF(head!F$82="S275",275,IF(head!F$82="S355",355,IF(head!F$82="S420",420,460))))^0.5*head!$G$70*1000/(S508*3.1416*210000^0.5)</f>
        <v>3.2256870862868547</v>
      </c>
      <c r="AR508" s="96">
        <f t="shared" si="86"/>
        <v>6.020225733379009</v>
      </c>
      <c r="AS508" s="96">
        <f t="shared" si="87"/>
        <v>9.0062982032909161E-2</v>
      </c>
      <c r="AT508" s="50">
        <f>IF(head!F$82="S235",235,IF(head!F$82="S275",275,IF(head!F$82="S355",355,IF(head!F$82="S420",420,460))))*AS508*J508/1000</f>
        <v>227.00372693822601</v>
      </c>
      <c r="AU508" s="207" t="s">
        <v>47</v>
      </c>
      <c r="AV508" s="208" t="s">
        <v>47</v>
      </c>
      <c r="AW508" s="208" t="s">
        <v>47</v>
      </c>
      <c r="AX508" s="209" t="s">
        <v>47</v>
      </c>
      <c r="AY508" s="208" t="s">
        <v>47</v>
      </c>
      <c r="AZ508" s="197">
        <v>0</v>
      </c>
      <c r="BA508" s="97" t="str">
        <f t="shared" si="88"/>
        <v>HF CHS 139,7 x 5</v>
      </c>
    </row>
    <row r="509" spans="1:53">
      <c r="A509" s="82" t="s">
        <v>623</v>
      </c>
      <c r="B509" s="83">
        <f t="shared" si="83"/>
        <v>92.151081634049788</v>
      </c>
      <c r="C509" s="84">
        <v>139.69999999999999</v>
      </c>
      <c r="D509" s="84"/>
      <c r="E509" s="125" t="s">
        <v>822</v>
      </c>
      <c r="F509" s="84"/>
      <c r="G509" s="84"/>
      <c r="H509" s="85">
        <v>16.609521819712896</v>
      </c>
      <c r="I509" s="86">
        <v>16.926901217541804</v>
      </c>
      <c r="J509" s="86">
        <v>2115.8626521927258</v>
      </c>
      <c r="K509" s="86">
        <v>0.43888049370649407</v>
      </c>
      <c r="L509" s="87">
        <v>4805412.3694160394</v>
      </c>
      <c r="M509" s="88">
        <v>68796.168495576814</v>
      </c>
      <c r="N509" s="88">
        <v>90762.11666666661</v>
      </c>
      <c r="O509" s="89">
        <v>47.656439753720576</v>
      </c>
      <c r="P509" s="88">
        <v>4805412.3694160394</v>
      </c>
      <c r="Q509" s="88">
        <v>68796.168495576814</v>
      </c>
      <c r="R509" s="88">
        <v>90762.11666666661</v>
      </c>
      <c r="S509" s="86">
        <v>47.656439753720576</v>
      </c>
      <c r="T509" s="87">
        <v>9610824.7388320789</v>
      </c>
      <c r="U509" s="119"/>
      <c r="V509" s="90">
        <v>1</v>
      </c>
      <c r="W509" s="91">
        <v>1</v>
      </c>
      <c r="X509" s="91">
        <v>1</v>
      </c>
      <c r="Y509" s="91">
        <v>1</v>
      </c>
      <c r="Z509" s="91">
        <v>2</v>
      </c>
      <c r="AA509" s="92">
        <v>1</v>
      </c>
      <c r="AB509" s="91">
        <v>1</v>
      </c>
      <c r="AC509" s="91">
        <v>2</v>
      </c>
      <c r="AD509" s="91">
        <v>2</v>
      </c>
      <c r="AE509" s="91">
        <v>3</v>
      </c>
      <c r="AF509" s="90">
        <v>1</v>
      </c>
      <c r="AG509" s="91">
        <v>1</v>
      </c>
      <c r="AH509" s="91">
        <v>2</v>
      </c>
      <c r="AI509" s="91">
        <v>2</v>
      </c>
      <c r="AJ509" s="91">
        <v>3</v>
      </c>
      <c r="AK509" s="210">
        <f t="shared" si="84"/>
        <v>207.4239049740163</v>
      </c>
      <c r="AL509" s="146"/>
      <c r="AM509" s="94"/>
      <c r="AN509" s="95"/>
      <c r="AO509" s="91" t="str">
        <f>IF(head!$F$82="S460","a0","a")</f>
        <v>a</v>
      </c>
      <c r="AP509" s="91">
        <f t="shared" si="85"/>
        <v>0.21</v>
      </c>
      <c r="AQ509" s="96">
        <f>IF(head!F$82="S235",235,IF(head!F$82="S275",275,IF(head!F$82="S355",355,IF(head!F$82="S420",420,460))))^0.5*head!$G$70*1000/(S509*3.1416*210000^0.5)</f>
        <v>2.7461992632650425</v>
      </c>
      <c r="AR509" s="96">
        <f t="shared" si="86"/>
        <v>4.5381561194215605</v>
      </c>
      <c r="AS509" s="96">
        <f t="shared" si="87"/>
        <v>0.12268306327738254</v>
      </c>
      <c r="AT509" s="50">
        <f>IF(head!F$82="S235",235,IF(head!F$82="S275",275,IF(head!F$82="S355",355,IF(head!F$82="S420",420,460))))*AS509*J509/1000</f>
        <v>92.151081634049788</v>
      </c>
      <c r="AU509" s="207" t="s">
        <v>47</v>
      </c>
      <c r="AV509" s="208" t="s">
        <v>47</v>
      </c>
      <c r="AW509" s="208" t="s">
        <v>47</v>
      </c>
      <c r="AX509" s="209" t="s">
        <v>47</v>
      </c>
      <c r="AY509" s="208" t="s">
        <v>47</v>
      </c>
      <c r="AZ509" s="197">
        <v>0</v>
      </c>
      <c r="BA509" s="97" t="str">
        <f t="shared" si="88"/>
        <v>HF CHS 139,7 x 5,6</v>
      </c>
    </row>
    <row r="510" spans="1:53">
      <c r="A510" s="82" t="s">
        <v>624</v>
      </c>
      <c r="B510" s="83">
        <f t="shared" si="83"/>
        <v>101.91203285083978</v>
      </c>
      <c r="C510" s="84">
        <v>139.69999999999999</v>
      </c>
      <c r="D510" s="84"/>
      <c r="E510" s="125" t="s">
        <v>823</v>
      </c>
      <c r="F510" s="84"/>
      <c r="G510" s="84"/>
      <c r="H510" s="85">
        <v>18.519801790247339</v>
      </c>
      <c r="I510" s="86">
        <v>18.873683353118306</v>
      </c>
      <c r="J510" s="86">
        <v>2359.2104191397884</v>
      </c>
      <c r="K510" s="86">
        <v>0.43888049370649407</v>
      </c>
      <c r="L510" s="87">
        <v>5312402.1945194239</v>
      </c>
      <c r="M510" s="88">
        <v>76054.433708223689</v>
      </c>
      <c r="N510" s="88">
        <v>100762.27466666652</v>
      </c>
      <c r="O510" s="89">
        <v>47.452831843842567</v>
      </c>
      <c r="P510" s="88">
        <v>5312402.1945194239</v>
      </c>
      <c r="Q510" s="88">
        <v>76054.433708223689</v>
      </c>
      <c r="R510" s="88">
        <v>100762.27466666652</v>
      </c>
      <c r="S510" s="86">
        <v>47.452831843842567</v>
      </c>
      <c r="T510" s="87">
        <v>10624804.389038848</v>
      </c>
      <c r="U510" s="119"/>
      <c r="V510" s="90">
        <v>1</v>
      </c>
      <c r="W510" s="91">
        <v>1</v>
      </c>
      <c r="X510" s="91">
        <v>1</v>
      </c>
      <c r="Y510" s="91">
        <v>1</v>
      </c>
      <c r="Z510" s="91">
        <v>1</v>
      </c>
      <c r="AA510" s="92">
        <v>1</v>
      </c>
      <c r="AB510" s="91">
        <v>1</v>
      </c>
      <c r="AC510" s="91">
        <v>2</v>
      </c>
      <c r="AD510" s="91">
        <v>2</v>
      </c>
      <c r="AE510" s="91">
        <v>2</v>
      </c>
      <c r="AF510" s="90">
        <v>1</v>
      </c>
      <c r="AG510" s="91">
        <v>1</v>
      </c>
      <c r="AH510" s="91">
        <v>2</v>
      </c>
      <c r="AI510" s="91">
        <v>2</v>
      </c>
      <c r="AJ510" s="91">
        <v>2</v>
      </c>
      <c r="AK510" s="210">
        <f t="shared" si="84"/>
        <v>186.02855012251004</v>
      </c>
      <c r="AL510" s="146"/>
      <c r="AM510" s="94"/>
      <c r="AN510" s="95"/>
      <c r="AO510" s="91" t="str">
        <f>IF(head!$F$82="S460","a0","a")</f>
        <v>a</v>
      </c>
      <c r="AP510" s="91">
        <f t="shared" si="85"/>
        <v>0.21</v>
      </c>
      <c r="AQ510" s="96">
        <f>IF(head!F$82="S235",235,IF(head!F$82="S275",275,IF(head!F$82="S355",355,IF(head!F$82="S420",420,460))))^0.5*head!$G$70*1000/(S510*3.1416*210000^0.5)</f>
        <v>2.7579824987512196</v>
      </c>
      <c r="AR510" s="96">
        <f t="shared" si="86"/>
        <v>4.5718218940778881</v>
      </c>
      <c r="AS510" s="96">
        <f t="shared" si="87"/>
        <v>0.12168314727105956</v>
      </c>
      <c r="AT510" s="50">
        <f>IF(head!F$82="S235",235,IF(head!F$82="S275",275,IF(head!F$82="S355",355,IF(head!F$82="S420",420,460))))*AS510*J510/1000</f>
        <v>101.91203285083978</v>
      </c>
      <c r="AU510" s="207" t="s">
        <v>47</v>
      </c>
      <c r="AV510" s="208" t="s">
        <v>47</v>
      </c>
      <c r="AW510" s="208" t="s">
        <v>47</v>
      </c>
      <c r="AX510" s="209" t="s">
        <v>47</v>
      </c>
      <c r="AY510" s="208" t="s">
        <v>47</v>
      </c>
      <c r="AZ510" s="197">
        <v>0</v>
      </c>
      <c r="BA510" s="97" t="str">
        <f t="shared" si="88"/>
        <v>HF CHS 139,7 x 6,3</v>
      </c>
    </row>
    <row r="511" spans="1:53">
      <c r="A511" s="82" t="s">
        <v>625</v>
      </c>
      <c r="B511" s="83">
        <f t="shared" si="83"/>
        <v>112.96936576785492</v>
      </c>
      <c r="C511" s="84">
        <v>139.69999999999999</v>
      </c>
      <c r="D511" s="84"/>
      <c r="E511" s="125" t="s">
        <v>824</v>
      </c>
      <c r="F511" s="84"/>
      <c r="G511" s="84"/>
      <c r="H511" s="85">
        <v>20.726019788749969</v>
      </c>
      <c r="I511" s="86">
        <v>21.122058383439459</v>
      </c>
      <c r="J511" s="86">
        <v>2640.2572979299325</v>
      </c>
      <c r="K511" s="86">
        <v>0.43888049370649407</v>
      </c>
      <c r="L511" s="87">
        <v>5886206.121613102</v>
      </c>
      <c r="M511" s="88">
        <v>84269.235814074491</v>
      </c>
      <c r="N511" s="88">
        <v>112195.37699999989</v>
      </c>
      <c r="O511" s="89">
        <v>47.216588716255217</v>
      </c>
      <c r="P511" s="88">
        <v>5886206.121613102</v>
      </c>
      <c r="Q511" s="88">
        <v>84269.235814074491</v>
      </c>
      <c r="R511" s="88">
        <v>112195.37699999989</v>
      </c>
      <c r="S511" s="86">
        <v>47.216588716255217</v>
      </c>
      <c r="T511" s="87">
        <v>11772412.243226204</v>
      </c>
      <c r="U511" s="119"/>
      <c r="V511" s="90">
        <v>1</v>
      </c>
      <c r="W511" s="91">
        <v>1</v>
      </c>
      <c r="X511" s="91">
        <v>1</v>
      </c>
      <c r="Y511" s="91">
        <v>1</v>
      </c>
      <c r="Z511" s="91">
        <v>1</v>
      </c>
      <c r="AA511" s="92">
        <v>1</v>
      </c>
      <c r="AB511" s="91">
        <v>1</v>
      </c>
      <c r="AC511" s="91">
        <v>1</v>
      </c>
      <c r="AD511" s="91">
        <v>2</v>
      </c>
      <c r="AE511" s="91">
        <v>2</v>
      </c>
      <c r="AF511" s="90">
        <v>1</v>
      </c>
      <c r="AG511" s="91">
        <v>1</v>
      </c>
      <c r="AH511" s="91">
        <v>1</v>
      </c>
      <c r="AI511" s="91">
        <v>2</v>
      </c>
      <c r="AJ511" s="91">
        <v>2</v>
      </c>
      <c r="AK511" s="210">
        <f t="shared" si="84"/>
        <v>166.22641060422177</v>
      </c>
      <c r="AL511" s="146"/>
      <c r="AM511" s="94"/>
      <c r="AN511" s="95"/>
      <c r="AO511" s="91" t="str">
        <f>IF(head!$F$82="S460","a0","a")</f>
        <v>a</v>
      </c>
      <c r="AP511" s="91">
        <f t="shared" si="85"/>
        <v>0.21</v>
      </c>
      <c r="AQ511" s="96">
        <f>IF(head!F$82="S235",235,IF(head!F$82="S275",275,IF(head!F$82="S355",355,IF(head!F$82="S420",420,460))))^0.5*head!$G$70*1000/(S511*3.1416*210000^0.5)</f>
        <v>2.771781767801587</v>
      </c>
      <c r="AR511" s="96">
        <f t="shared" si="86"/>
        <v>4.6114241697778118</v>
      </c>
      <c r="AS511" s="96">
        <f t="shared" si="87"/>
        <v>0.12052748260283319</v>
      </c>
      <c r="AT511" s="50">
        <f>IF(head!F$82="S235",235,IF(head!F$82="S275",275,IF(head!F$82="S355",355,IF(head!F$82="S420",420,460))))*AS511*J511/1000</f>
        <v>112.96936576785492</v>
      </c>
      <c r="AU511" s="207" t="s">
        <v>47</v>
      </c>
      <c r="AV511" s="208" t="s">
        <v>47</v>
      </c>
      <c r="AW511" s="208" t="s">
        <v>47</v>
      </c>
      <c r="AX511" s="209" t="s">
        <v>47</v>
      </c>
      <c r="AY511" s="208" t="s">
        <v>47</v>
      </c>
      <c r="AZ511" s="197">
        <v>0</v>
      </c>
      <c r="BA511" s="97" t="str">
        <f t="shared" si="88"/>
        <v>HF CHS 139,7 x 7,1</v>
      </c>
    </row>
    <row r="512" spans="1:53">
      <c r="A512" s="82" t="s">
        <v>626</v>
      </c>
      <c r="B512" s="83">
        <f t="shared" si="83"/>
        <v>125.17954149079708</v>
      </c>
      <c r="C512" s="84">
        <v>139.69999999999999</v>
      </c>
      <c r="D512" s="84"/>
      <c r="E512" s="125" t="s">
        <v>825</v>
      </c>
      <c r="F512" s="84"/>
      <c r="G512" s="84"/>
      <c r="H512" s="85">
        <v>23.217817984241876</v>
      </c>
      <c r="I512" s="86">
        <v>23.661470557189173</v>
      </c>
      <c r="J512" s="86">
        <v>2957.6838196486469</v>
      </c>
      <c r="K512" s="86">
        <v>0.43888049370649407</v>
      </c>
      <c r="L512" s="87">
        <v>6519167.6997642405</v>
      </c>
      <c r="M512" s="88">
        <v>93330.962058185265</v>
      </c>
      <c r="N512" s="88">
        <v>124956.89966666664</v>
      </c>
      <c r="O512" s="89">
        <v>46.948335966251243</v>
      </c>
      <c r="P512" s="88">
        <v>6519167.6997642405</v>
      </c>
      <c r="Q512" s="88">
        <v>93330.962058185265</v>
      </c>
      <c r="R512" s="88">
        <v>124956.89966666664</v>
      </c>
      <c r="S512" s="86">
        <v>46.948335966251243</v>
      </c>
      <c r="T512" s="87">
        <v>13038335.399528481</v>
      </c>
      <c r="U512" s="119"/>
      <c r="V512" s="90">
        <v>1</v>
      </c>
      <c r="W512" s="91">
        <v>1</v>
      </c>
      <c r="X512" s="91">
        <v>1</v>
      </c>
      <c r="Y512" s="91">
        <v>1</v>
      </c>
      <c r="Z512" s="91">
        <v>1</v>
      </c>
      <c r="AA512" s="92">
        <v>1</v>
      </c>
      <c r="AB512" s="91">
        <v>1</v>
      </c>
      <c r="AC512" s="91">
        <v>1</v>
      </c>
      <c r="AD512" s="91">
        <v>1</v>
      </c>
      <c r="AE512" s="91">
        <v>2</v>
      </c>
      <c r="AF512" s="90">
        <v>1</v>
      </c>
      <c r="AG512" s="91">
        <v>1</v>
      </c>
      <c r="AH512" s="91">
        <v>1</v>
      </c>
      <c r="AI512" s="91">
        <v>1</v>
      </c>
      <c r="AJ512" s="91">
        <v>2</v>
      </c>
      <c r="AK512" s="210">
        <f t="shared" si="84"/>
        <v>148.3865485522486</v>
      </c>
      <c r="AL512" s="146"/>
      <c r="AM512" s="94"/>
      <c r="AN512" s="95"/>
      <c r="AO512" s="91" t="str">
        <f>IF(head!$F$82="S460","a0","a")</f>
        <v>a</v>
      </c>
      <c r="AP512" s="91">
        <f t="shared" si="85"/>
        <v>0.21</v>
      </c>
      <c r="AQ512" s="96">
        <f>IF(head!F$82="S235",235,IF(head!F$82="S275",275,IF(head!F$82="S355",355,IF(head!F$82="S420",420,460))))^0.5*head!$G$70*1000/(S512*3.1416*210000^0.5)</f>
        <v>2.7876191359706772</v>
      </c>
      <c r="AR512" s="96">
        <f t="shared" si="86"/>
        <v>4.6571102328918741</v>
      </c>
      <c r="AS512" s="96">
        <f t="shared" si="87"/>
        <v>0.11922113661781752</v>
      </c>
      <c r="AT512" s="50">
        <f>IF(head!F$82="S235",235,IF(head!F$82="S275",275,IF(head!F$82="S355",355,IF(head!F$82="S420",420,460))))*AS512*J512/1000</f>
        <v>125.17954149079708</v>
      </c>
      <c r="AU512" s="207" t="s">
        <v>47</v>
      </c>
      <c r="AV512" s="208" t="s">
        <v>47</v>
      </c>
      <c r="AW512" s="208" t="s">
        <v>47</v>
      </c>
      <c r="AX512" s="209" t="s">
        <v>47</v>
      </c>
      <c r="AY512" s="208" t="s">
        <v>47</v>
      </c>
      <c r="AZ512" s="197">
        <v>0</v>
      </c>
      <c r="BA512" s="97" t="str">
        <f t="shared" si="88"/>
        <v>HF CHS 139,7 x 8</v>
      </c>
    </row>
    <row r="513" spans="1:53">
      <c r="A513" s="82" t="s">
        <v>627</v>
      </c>
      <c r="B513" s="83">
        <f t="shared" si="83"/>
        <v>138.38479844609665</v>
      </c>
      <c r="C513" s="84">
        <v>139.69999999999999</v>
      </c>
      <c r="D513" s="84"/>
      <c r="E513" s="125" t="s">
        <v>826</v>
      </c>
      <c r="F513" s="84"/>
      <c r="G513" s="84"/>
      <c r="H513" s="85">
        <v>25.983358855604312</v>
      </c>
      <c r="I513" s="86">
        <v>26.479856158577643</v>
      </c>
      <c r="J513" s="86">
        <v>3309.9820198222055</v>
      </c>
      <c r="K513" s="86">
        <v>0.43888049370649407</v>
      </c>
      <c r="L513" s="87">
        <v>7202889.1106328228</v>
      </c>
      <c r="M513" s="88">
        <v>103119.38597899533</v>
      </c>
      <c r="N513" s="88">
        <v>138929.78666666662</v>
      </c>
      <c r="O513" s="89">
        <v>46.648807594621317</v>
      </c>
      <c r="P513" s="88">
        <v>7202889.1106328228</v>
      </c>
      <c r="Q513" s="88">
        <v>103119.38597899533</v>
      </c>
      <c r="R513" s="88">
        <v>138929.78666666662</v>
      </c>
      <c r="S513" s="86">
        <v>46.648807594621317</v>
      </c>
      <c r="T513" s="87">
        <v>14405778.221265646</v>
      </c>
      <c r="U513" s="119"/>
      <c r="V513" s="90">
        <v>1</v>
      </c>
      <c r="W513" s="91">
        <v>1</v>
      </c>
      <c r="X513" s="91">
        <v>1</v>
      </c>
      <c r="Y513" s="91">
        <v>1</v>
      </c>
      <c r="Z513" s="91">
        <v>1</v>
      </c>
      <c r="AA513" s="92">
        <v>1</v>
      </c>
      <c r="AB513" s="91">
        <v>1</v>
      </c>
      <c r="AC513" s="91">
        <v>1</v>
      </c>
      <c r="AD513" s="91">
        <v>1</v>
      </c>
      <c r="AE513" s="91">
        <v>1</v>
      </c>
      <c r="AF513" s="90">
        <v>1</v>
      </c>
      <c r="AG513" s="91">
        <v>1</v>
      </c>
      <c r="AH513" s="91">
        <v>1</v>
      </c>
      <c r="AI513" s="91">
        <v>1</v>
      </c>
      <c r="AJ513" s="91">
        <v>1</v>
      </c>
      <c r="AK513" s="210">
        <f t="shared" si="84"/>
        <v>132.59301442672742</v>
      </c>
      <c r="AL513" s="146"/>
      <c r="AM513" s="94"/>
      <c r="AN513" s="95"/>
      <c r="AO513" s="91" t="str">
        <f>IF(head!$F$82="S460","a0","a")</f>
        <v>a</v>
      </c>
      <c r="AP513" s="91">
        <f t="shared" si="85"/>
        <v>0.21</v>
      </c>
      <c r="AQ513" s="96">
        <f>IF(head!F$82="S235",235,IF(head!F$82="S275",275,IF(head!F$82="S355",355,IF(head!F$82="S420",420,460))))^0.5*head!$G$70*1000/(S513*3.1416*210000^0.5)</f>
        <v>2.8055182220047219</v>
      </c>
      <c r="AR513" s="96">
        <f t="shared" si="86"/>
        <v>4.709045660310764</v>
      </c>
      <c r="AS513" s="96">
        <f t="shared" si="87"/>
        <v>0.11776992482633344</v>
      </c>
      <c r="AT513" s="50">
        <f>IF(head!F$82="S235",235,IF(head!F$82="S275",275,IF(head!F$82="S355",355,IF(head!F$82="S420",420,460))))*AS513*J513/1000</f>
        <v>138.38479844609665</v>
      </c>
      <c r="AU513" s="207" t="s">
        <v>47</v>
      </c>
      <c r="AV513" s="208" t="s">
        <v>47</v>
      </c>
      <c r="AW513" s="208" t="s">
        <v>47</v>
      </c>
      <c r="AX513" s="209" t="s">
        <v>47</v>
      </c>
      <c r="AY513" s="208" t="s">
        <v>47</v>
      </c>
      <c r="AZ513" s="197">
        <v>0</v>
      </c>
      <c r="BA513" s="97" t="str">
        <f t="shared" si="88"/>
        <v>HF CHS 139,7 x 10</v>
      </c>
    </row>
    <row r="514" spans="1:53">
      <c r="A514" s="82" t="s">
        <v>628</v>
      </c>
      <c r="B514" s="83">
        <f t="shared" si="83"/>
        <v>165.79072908318619</v>
      </c>
      <c r="C514" s="84">
        <v>139.69999999999999</v>
      </c>
      <c r="D514" s="84"/>
      <c r="E514" s="125" t="s">
        <v>828</v>
      </c>
      <c r="F514" s="84"/>
      <c r="G514" s="84"/>
      <c r="H514" s="85">
        <v>31.985968522891799</v>
      </c>
      <c r="I514" s="86">
        <v>32.597165373647691</v>
      </c>
      <c r="J514" s="86">
        <v>4074.6456717059618</v>
      </c>
      <c r="K514" s="86">
        <v>0.43888049370649407</v>
      </c>
      <c r="L514" s="87">
        <v>8618940.0968398396</v>
      </c>
      <c r="M514" s="88">
        <v>123392.12737064912</v>
      </c>
      <c r="N514" s="88">
        <v>168554.23333333328</v>
      </c>
      <c r="O514" s="89">
        <v>45.991969407712901</v>
      </c>
      <c r="P514" s="88">
        <v>8618940.0968398396</v>
      </c>
      <c r="Q514" s="88">
        <v>123392.12737064912</v>
      </c>
      <c r="R514" s="88">
        <v>168554.23333333328</v>
      </c>
      <c r="S514" s="86">
        <v>45.991969407712901</v>
      </c>
      <c r="T514" s="87">
        <v>17237880.193679679</v>
      </c>
      <c r="U514" s="119"/>
      <c r="V514" s="90">
        <v>1</v>
      </c>
      <c r="W514" s="91">
        <v>1</v>
      </c>
      <c r="X514" s="91">
        <v>1</v>
      </c>
      <c r="Y514" s="91">
        <v>1</v>
      </c>
      <c r="Z514" s="91">
        <v>1</v>
      </c>
      <c r="AA514" s="92">
        <v>1</v>
      </c>
      <c r="AB514" s="91">
        <v>1</v>
      </c>
      <c r="AC514" s="91">
        <v>1</v>
      </c>
      <c r="AD514" s="91">
        <v>1</v>
      </c>
      <c r="AE514" s="91">
        <v>1</v>
      </c>
      <c r="AF514" s="90">
        <v>1</v>
      </c>
      <c r="AG514" s="91">
        <v>1</v>
      </c>
      <c r="AH514" s="91">
        <v>1</v>
      </c>
      <c r="AI514" s="91">
        <v>1</v>
      </c>
      <c r="AJ514" s="91">
        <v>1</v>
      </c>
      <c r="AK514" s="210">
        <f t="shared" si="84"/>
        <v>107.71010023130299</v>
      </c>
      <c r="AL514" s="146"/>
      <c r="AM514" s="94"/>
      <c r="AN514" s="95"/>
      <c r="AO514" s="91" t="str">
        <f>IF(head!$F$82="S460","a0","a")</f>
        <v>a</v>
      </c>
      <c r="AP514" s="91">
        <f t="shared" si="85"/>
        <v>0.21</v>
      </c>
      <c r="AQ514" s="96">
        <f>IF(head!F$82="S235",235,IF(head!F$82="S275",275,IF(head!F$82="S355",355,IF(head!F$82="S420",420,460))))^0.5*head!$G$70*1000/(S514*3.1416*210000^0.5)</f>
        <v>2.8455854669175062</v>
      </c>
      <c r="AR514" s="96">
        <f t="shared" si="86"/>
        <v>4.826464798792399</v>
      </c>
      <c r="AS514" s="96">
        <f t="shared" si="87"/>
        <v>0.11461515328938215</v>
      </c>
      <c r="AT514" s="50">
        <f>IF(head!F$82="S235",235,IF(head!F$82="S275",275,IF(head!F$82="S355",355,IF(head!F$82="S420",420,460))))*AS514*J514/1000</f>
        <v>165.79072908318619</v>
      </c>
      <c r="AU514" s="207" t="s">
        <v>47</v>
      </c>
      <c r="AV514" s="208" t="s">
        <v>47</v>
      </c>
      <c r="AW514" s="208" t="s">
        <v>47</v>
      </c>
      <c r="AX514" s="209" t="s">
        <v>47</v>
      </c>
      <c r="AY514" s="208" t="s">
        <v>47</v>
      </c>
      <c r="AZ514" s="197">
        <v>0</v>
      </c>
      <c r="BA514" s="97" t="str">
        <f t="shared" si="88"/>
        <v>HF CHS 139,7 x 12,5</v>
      </c>
    </row>
    <row r="515" spans="1:53">
      <c r="A515" s="82" t="s">
        <v>629</v>
      </c>
      <c r="B515" s="83">
        <f t="shared" si="83"/>
        <v>196.49367807623474</v>
      </c>
      <c r="C515" s="84">
        <v>139.69999999999999</v>
      </c>
      <c r="D515" s="84"/>
      <c r="E515" s="125" t="s">
        <v>829</v>
      </c>
      <c r="F515" s="84"/>
      <c r="G515" s="84"/>
      <c r="H515" s="85">
        <v>39.211788705780997</v>
      </c>
      <c r="I515" s="86">
        <v>39.961058553662163</v>
      </c>
      <c r="J515" s="86">
        <v>4995.1323192077707</v>
      </c>
      <c r="K515" s="86">
        <v>0.43888049370649407</v>
      </c>
      <c r="L515" s="87">
        <v>10200116.391060857</v>
      </c>
      <c r="M515" s="88">
        <v>146028.86744539524</v>
      </c>
      <c r="N515" s="88">
        <v>202899.04166666663</v>
      </c>
      <c r="O515" s="89">
        <v>45.188618589197873</v>
      </c>
      <c r="P515" s="88">
        <v>10200116.391060857</v>
      </c>
      <c r="Q515" s="88">
        <v>146028.86744539524</v>
      </c>
      <c r="R515" s="88">
        <v>202899.04166666663</v>
      </c>
      <c r="S515" s="86">
        <v>45.188618589197873</v>
      </c>
      <c r="T515" s="87">
        <v>20400232.782121714</v>
      </c>
      <c r="U515" s="119"/>
      <c r="V515" s="90">
        <v>1</v>
      </c>
      <c r="W515" s="91">
        <v>1</v>
      </c>
      <c r="X515" s="91">
        <v>1</v>
      </c>
      <c r="Y515" s="91">
        <v>1</v>
      </c>
      <c r="Z515" s="91">
        <v>1</v>
      </c>
      <c r="AA515" s="92">
        <v>1</v>
      </c>
      <c r="AB515" s="91">
        <v>1</v>
      </c>
      <c r="AC515" s="91">
        <v>1</v>
      </c>
      <c r="AD515" s="91">
        <v>1</v>
      </c>
      <c r="AE515" s="91">
        <v>1</v>
      </c>
      <c r="AF515" s="90">
        <v>1</v>
      </c>
      <c r="AG515" s="91">
        <v>1</v>
      </c>
      <c r="AH515" s="91">
        <v>1</v>
      </c>
      <c r="AI515" s="91">
        <v>1</v>
      </c>
      <c r="AJ515" s="91">
        <v>1</v>
      </c>
      <c r="AK515" s="210">
        <f t="shared" si="84"/>
        <v>87.861635220125791</v>
      </c>
      <c r="AL515" s="146"/>
      <c r="AM515" s="94"/>
      <c r="AN515" s="95"/>
      <c r="AO515" s="91" t="str">
        <f>IF(head!$F$82="S460","a0","a")</f>
        <v>a</v>
      </c>
      <c r="AP515" s="91">
        <f t="shared" si="85"/>
        <v>0.21</v>
      </c>
      <c r="AQ515" s="96">
        <f>IF(head!F$82="S235",235,IF(head!F$82="S275",275,IF(head!F$82="S355",355,IF(head!F$82="S420",420,460))))^0.5*head!$G$70*1000/(S515*3.1416*210000^0.5)</f>
        <v>2.8961735018115204</v>
      </c>
      <c r="AR515" s="96">
        <f t="shared" si="86"/>
        <v>4.9770086939878126</v>
      </c>
      <c r="AS515" s="96">
        <f t="shared" si="87"/>
        <v>0.1108085398251053</v>
      </c>
      <c r="AT515" s="50">
        <f>IF(head!F$82="S235",235,IF(head!F$82="S275",275,IF(head!F$82="S355",355,IF(head!F$82="S420",420,460))))*AS515*J515/1000</f>
        <v>196.49367807623474</v>
      </c>
      <c r="AU515" s="207" t="s">
        <v>47</v>
      </c>
      <c r="AV515" s="208" t="s">
        <v>47</v>
      </c>
      <c r="AW515" s="208" t="s">
        <v>47</v>
      </c>
      <c r="AX515" s="209" t="s">
        <v>47</v>
      </c>
      <c r="AY515" s="208" t="s">
        <v>47</v>
      </c>
      <c r="AZ515" s="197">
        <v>0</v>
      </c>
      <c r="BA515" s="97" t="str">
        <f t="shared" si="88"/>
        <v>HF CHS 139,7 x 14,2</v>
      </c>
    </row>
    <row r="516" spans="1:53">
      <c r="A516" s="82" t="s">
        <v>630</v>
      </c>
      <c r="B516" s="83">
        <f t="shared" si="83"/>
        <v>215.26264787023854</v>
      </c>
      <c r="C516" s="84">
        <v>139.69999999999999</v>
      </c>
      <c r="D516" s="84"/>
      <c r="E516" s="125" t="s">
        <v>830</v>
      </c>
      <c r="F516" s="84"/>
      <c r="G516" s="84"/>
      <c r="H516" s="85">
        <v>43.949263303504601</v>
      </c>
      <c r="I516" s="86">
        <v>44.789058143698959</v>
      </c>
      <c r="J516" s="86">
        <v>5598.63226796237</v>
      </c>
      <c r="K516" s="86">
        <v>0.43888049370649407</v>
      </c>
      <c r="L516" s="87">
        <v>11163595.761123279</v>
      </c>
      <c r="M516" s="88">
        <v>159822.41605044063</v>
      </c>
      <c r="N516" s="88">
        <v>224607.97933333326</v>
      </c>
      <c r="O516" s="89">
        <v>44.654073162478689</v>
      </c>
      <c r="P516" s="88">
        <v>11163595.761123279</v>
      </c>
      <c r="Q516" s="88">
        <v>159822.41605044063</v>
      </c>
      <c r="R516" s="88">
        <v>224607.97933333326</v>
      </c>
      <c r="S516" s="86">
        <v>44.654073162478689</v>
      </c>
      <c r="T516" s="87">
        <v>22327191.522246558</v>
      </c>
      <c r="U516" s="119"/>
      <c r="V516" s="90">
        <v>1</v>
      </c>
      <c r="W516" s="91">
        <v>1</v>
      </c>
      <c r="X516" s="91">
        <v>1</v>
      </c>
      <c r="Y516" s="91">
        <v>1</v>
      </c>
      <c r="Z516" s="91">
        <v>1</v>
      </c>
      <c r="AA516" s="92">
        <v>1</v>
      </c>
      <c r="AB516" s="91">
        <v>1</v>
      </c>
      <c r="AC516" s="91">
        <v>1</v>
      </c>
      <c r="AD516" s="91">
        <v>1</v>
      </c>
      <c r="AE516" s="91">
        <v>1</v>
      </c>
      <c r="AF516" s="90">
        <v>1</v>
      </c>
      <c r="AG516" s="91">
        <v>1</v>
      </c>
      <c r="AH516" s="91">
        <v>1</v>
      </c>
      <c r="AI516" s="91">
        <v>1</v>
      </c>
      <c r="AJ516" s="91">
        <v>1</v>
      </c>
      <c r="AK516" s="210">
        <f t="shared" si="84"/>
        <v>78.390662701307448</v>
      </c>
      <c r="AL516" s="146"/>
      <c r="AM516" s="94"/>
      <c r="AN516" s="95"/>
      <c r="AO516" s="91" t="str">
        <f>IF(head!$F$82="S460","a0","a")</f>
        <v>a</v>
      </c>
      <c r="AP516" s="91">
        <f t="shared" si="85"/>
        <v>0.21</v>
      </c>
      <c r="AQ516" s="96">
        <f>IF(head!F$82="S235",235,IF(head!F$82="S275",275,IF(head!F$82="S355",355,IF(head!F$82="S420",420,460))))^0.5*head!$G$70*1000/(S516*3.1416*210000^0.5)</f>
        <v>2.9308430446043037</v>
      </c>
      <c r="AR516" s="96">
        <f t="shared" si="86"/>
        <v>5.0816589957361638</v>
      </c>
      <c r="AS516" s="96">
        <f t="shared" si="87"/>
        <v>0.1083074627784392</v>
      </c>
      <c r="AT516" s="50">
        <f>IF(head!F$82="S235",235,IF(head!F$82="S275",275,IF(head!F$82="S355",355,IF(head!F$82="S420",420,460))))*AS516*J516/1000</f>
        <v>215.26264787023854</v>
      </c>
      <c r="AU516" s="207" t="s">
        <v>47</v>
      </c>
      <c r="AV516" s="208" t="s">
        <v>47</v>
      </c>
      <c r="AW516" s="208" t="s">
        <v>47</v>
      </c>
      <c r="AX516" s="209" t="s">
        <v>47</v>
      </c>
      <c r="AY516" s="208" t="s">
        <v>47</v>
      </c>
      <c r="AZ516" s="197">
        <v>0</v>
      </c>
      <c r="BA516" s="97" t="str">
        <f t="shared" si="88"/>
        <v>HF CHS 139,7 x 16</v>
      </c>
    </row>
    <row r="517" spans="1:53">
      <c r="A517" s="82" t="s">
        <v>631</v>
      </c>
      <c r="B517" s="83">
        <f t="shared" si="83"/>
        <v>233.39650437802254</v>
      </c>
      <c r="C517" s="84">
        <v>139.69999999999999</v>
      </c>
      <c r="D517" s="84"/>
      <c r="E517" s="125" t="s">
        <v>831</v>
      </c>
      <c r="F517" s="84"/>
      <c r="G517" s="84"/>
      <c r="H517" s="85">
        <v>48.8100454128816</v>
      </c>
      <c r="I517" s="86">
        <v>49.74272143987934</v>
      </c>
      <c r="J517" s="86">
        <v>6217.840179984918</v>
      </c>
      <c r="K517" s="86">
        <v>0.43888049370649407</v>
      </c>
      <c r="L517" s="87">
        <v>12091903.748718692</v>
      </c>
      <c r="M517" s="88">
        <v>173112.43734744011</v>
      </c>
      <c r="N517" s="88">
        <v>246192.37333333326</v>
      </c>
      <c r="O517" s="89">
        <v>44.098880371274731</v>
      </c>
      <c r="P517" s="88">
        <v>12091903.748718692</v>
      </c>
      <c r="Q517" s="88">
        <v>173112.43734744011</v>
      </c>
      <c r="R517" s="88">
        <v>246192.37333333326</v>
      </c>
      <c r="S517" s="86">
        <v>44.098880371274731</v>
      </c>
      <c r="T517" s="87">
        <v>24183807.497437384</v>
      </c>
      <c r="U517" s="119"/>
      <c r="V517" s="90">
        <v>1</v>
      </c>
      <c r="W517" s="91">
        <v>1</v>
      </c>
      <c r="X517" s="91">
        <v>1</v>
      </c>
      <c r="Y517" s="91">
        <v>1</v>
      </c>
      <c r="Z517" s="91">
        <v>1</v>
      </c>
      <c r="AA517" s="92">
        <v>1</v>
      </c>
      <c r="AB517" s="91">
        <v>1</v>
      </c>
      <c r="AC517" s="91">
        <v>1</v>
      </c>
      <c r="AD517" s="91">
        <v>1</v>
      </c>
      <c r="AE517" s="91">
        <v>1</v>
      </c>
      <c r="AF517" s="90">
        <v>1</v>
      </c>
      <c r="AG517" s="91">
        <v>1</v>
      </c>
      <c r="AH517" s="91">
        <v>1</v>
      </c>
      <c r="AI517" s="91">
        <v>1</v>
      </c>
      <c r="AJ517" s="91">
        <v>1</v>
      </c>
      <c r="AK517" s="210">
        <f t="shared" si="84"/>
        <v>70.584074373484228</v>
      </c>
      <c r="AL517" s="146"/>
      <c r="AM517" s="94"/>
      <c r="AN517" s="95"/>
      <c r="AO517" s="91" t="str">
        <f>IF(head!$F$82="S460","a0","a")</f>
        <v>a</v>
      </c>
      <c r="AP517" s="91">
        <f t="shared" si="85"/>
        <v>0.21</v>
      </c>
      <c r="AQ517" s="96">
        <f>IF(head!F$82="S235",235,IF(head!F$82="S275",275,IF(head!F$82="S355",355,IF(head!F$82="S420",420,460))))^0.5*head!$G$70*1000/(S517*3.1416*210000^0.5)</f>
        <v>2.9677415535191574</v>
      </c>
      <c r="AR517" s="96">
        <f t="shared" si="86"/>
        <v>5.194357827361662</v>
      </c>
      <c r="AS517" s="96">
        <f t="shared" si="87"/>
        <v>0.10573686728492231</v>
      </c>
      <c r="AT517" s="50">
        <f>IF(head!F$82="S235",235,IF(head!F$82="S275",275,IF(head!F$82="S355",355,IF(head!F$82="S420",420,460))))*AS517*J517/1000</f>
        <v>233.39650437802254</v>
      </c>
      <c r="AU517" s="207" t="s">
        <v>47</v>
      </c>
      <c r="AV517" s="208" t="s">
        <v>47</v>
      </c>
      <c r="AW517" s="208" t="s">
        <v>47</v>
      </c>
      <c r="AX517" s="209" t="s">
        <v>47</v>
      </c>
      <c r="AY517" s="208" t="s">
        <v>47</v>
      </c>
      <c r="AZ517" s="197">
        <v>0</v>
      </c>
      <c r="BA517" s="97" t="str">
        <f t="shared" si="88"/>
        <v>HF CHS 139,7 x 20</v>
      </c>
    </row>
    <row r="518" spans="1:53">
      <c r="A518" s="82" t="s">
        <v>632</v>
      </c>
      <c r="B518" s="83">
        <f t="shared" si="83"/>
        <v>267.82831990555866</v>
      </c>
      <c r="C518" s="84">
        <v>139.69999999999999</v>
      </c>
      <c r="D518" s="84"/>
      <c r="E518" s="125" t="s">
        <v>833</v>
      </c>
      <c r="F518" s="84"/>
      <c r="G518" s="84"/>
      <c r="H518" s="85">
        <v>59.039636579647613</v>
      </c>
      <c r="I518" s="86">
        <v>60.167782501551706</v>
      </c>
      <c r="J518" s="86">
        <v>7520.9728126939635</v>
      </c>
      <c r="K518" s="86">
        <v>0.43888049370649407</v>
      </c>
      <c r="L518" s="87">
        <v>13846195.559113726</v>
      </c>
      <c r="M518" s="88">
        <v>198227.56705960954</v>
      </c>
      <c r="N518" s="88">
        <v>289228.46666666656</v>
      </c>
      <c r="O518" s="89">
        <v>42.907007003518665</v>
      </c>
      <c r="P518" s="88">
        <v>13846195.559113726</v>
      </c>
      <c r="Q518" s="88">
        <v>198227.56705960954</v>
      </c>
      <c r="R518" s="88">
        <v>289228.46666666656</v>
      </c>
      <c r="S518" s="86">
        <v>42.907007003518665</v>
      </c>
      <c r="T518" s="87">
        <v>27692391.118227452</v>
      </c>
      <c r="U518" s="119"/>
      <c r="V518" s="90">
        <v>1</v>
      </c>
      <c r="W518" s="91">
        <v>1</v>
      </c>
      <c r="X518" s="91">
        <v>1</v>
      </c>
      <c r="Y518" s="91">
        <v>1</v>
      </c>
      <c r="Z518" s="91">
        <v>1</v>
      </c>
      <c r="AA518" s="92">
        <v>1</v>
      </c>
      <c r="AB518" s="91">
        <v>1</v>
      </c>
      <c r="AC518" s="91">
        <v>1</v>
      </c>
      <c r="AD518" s="91">
        <v>1</v>
      </c>
      <c r="AE518" s="91">
        <v>1</v>
      </c>
      <c r="AF518" s="90">
        <v>1</v>
      </c>
      <c r="AG518" s="91">
        <v>1</v>
      </c>
      <c r="AH518" s="91">
        <v>1</v>
      </c>
      <c r="AI518" s="91">
        <v>1</v>
      </c>
      <c r="AJ518" s="91">
        <v>1</v>
      </c>
      <c r="AK518" s="210">
        <f t="shared" si="84"/>
        <v>58.354218880534674</v>
      </c>
      <c r="AL518" s="146"/>
      <c r="AM518" s="94"/>
      <c r="AN518" s="95"/>
      <c r="AO518" s="91" t="str">
        <f>IF(head!$F$82="S460","a0","a")</f>
        <v>a</v>
      </c>
      <c r="AP518" s="91">
        <f t="shared" si="85"/>
        <v>0.21</v>
      </c>
      <c r="AQ518" s="96">
        <f>IF(head!F$82="S235",235,IF(head!F$82="S275",275,IF(head!F$82="S355",355,IF(head!F$82="S420",420,460))))^0.5*head!$G$70*1000/(S518*3.1416*210000^0.5)</f>
        <v>3.0501796531920711</v>
      </c>
      <c r="AR518" s="96">
        <f t="shared" si="86"/>
        <v>5.4510668219586194</v>
      </c>
      <c r="AS518" s="96">
        <f t="shared" si="87"/>
        <v>0.10031228543887215</v>
      </c>
      <c r="AT518" s="50">
        <f>IF(head!F$82="S235",235,IF(head!F$82="S275",275,IF(head!F$82="S355",355,IF(head!F$82="S420",420,460))))*AS518*J518/1000</f>
        <v>267.82831990555866</v>
      </c>
      <c r="AU518" s="207" t="s">
        <v>47</v>
      </c>
      <c r="AV518" s="208" t="s">
        <v>47</v>
      </c>
      <c r="AW518" s="208" t="s">
        <v>47</v>
      </c>
      <c r="AX518" s="209" t="s">
        <v>47</v>
      </c>
      <c r="AY518" s="208" t="s">
        <v>47</v>
      </c>
      <c r="AZ518" s="197">
        <v>0</v>
      </c>
      <c r="BA518" s="97" t="str">
        <f t="shared" si="88"/>
        <v>HF CHS 152,4 x 5,6</v>
      </c>
    </row>
    <row r="519" spans="1:53">
      <c r="A519" s="82" t="s">
        <v>633</v>
      </c>
      <c r="B519" s="83">
        <f t="shared" si="83"/>
        <v>132.51821582899868</v>
      </c>
      <c r="C519" s="84">
        <v>152.4</v>
      </c>
      <c r="D519" s="84"/>
      <c r="E519" s="125" t="s">
        <v>823</v>
      </c>
      <c r="F519" s="84"/>
      <c r="G519" s="84"/>
      <c r="H519" s="85">
        <v>20.273727836005289</v>
      </c>
      <c r="I519" s="86">
        <v>20.661123909304752</v>
      </c>
      <c r="J519" s="86">
        <v>2582.6404886630939</v>
      </c>
      <c r="K519" s="86">
        <v>0.47877872040708452</v>
      </c>
      <c r="L519" s="87">
        <v>6967189.2462664312</v>
      </c>
      <c r="M519" s="88">
        <v>91432.929741029264</v>
      </c>
      <c r="N519" s="88">
        <v>120739.88266666653</v>
      </c>
      <c r="O519" s="89">
        <v>51.939387751493577</v>
      </c>
      <c r="P519" s="88">
        <v>6967189.2462664312</v>
      </c>
      <c r="Q519" s="88">
        <v>91432.929741029264</v>
      </c>
      <c r="R519" s="88">
        <v>120739.88266666653</v>
      </c>
      <c r="S519" s="86">
        <v>51.939387751493577</v>
      </c>
      <c r="T519" s="87">
        <v>13934378.492532862</v>
      </c>
      <c r="U519" s="119"/>
      <c r="V519" s="90">
        <v>1</v>
      </c>
      <c r="W519" s="91">
        <v>1</v>
      </c>
      <c r="X519" s="91">
        <v>1</v>
      </c>
      <c r="Y519" s="91">
        <v>1</v>
      </c>
      <c r="Z519" s="91">
        <v>2</v>
      </c>
      <c r="AA519" s="92">
        <v>1</v>
      </c>
      <c r="AB519" s="91">
        <v>1</v>
      </c>
      <c r="AC519" s="91">
        <v>2</v>
      </c>
      <c r="AD519" s="91">
        <v>2</v>
      </c>
      <c r="AE519" s="91">
        <v>3</v>
      </c>
      <c r="AF519" s="90">
        <v>1</v>
      </c>
      <c r="AG519" s="91">
        <v>1</v>
      </c>
      <c r="AH519" s="91">
        <v>2</v>
      </c>
      <c r="AI519" s="91">
        <v>2</v>
      </c>
      <c r="AJ519" s="91">
        <v>3</v>
      </c>
      <c r="AK519" s="210">
        <f t="shared" si="84"/>
        <v>185.38341767224625</v>
      </c>
      <c r="AL519" s="146"/>
      <c r="AM519" s="94"/>
      <c r="AN519" s="95"/>
      <c r="AO519" s="91" t="str">
        <f>IF(head!$F$82="S460","a0","a")</f>
        <v>a</v>
      </c>
      <c r="AP519" s="91">
        <f t="shared" si="85"/>
        <v>0.21</v>
      </c>
      <c r="AQ519" s="96">
        <f>IF(head!F$82="S235",235,IF(head!F$82="S275",275,IF(head!F$82="S355",355,IF(head!F$82="S420",420,460))))^0.5*head!$G$70*1000/(S519*3.1416*210000^0.5)</f>
        <v>2.5197462928842267</v>
      </c>
      <c r="AR519" s="96">
        <f t="shared" si="86"/>
        <v>3.9181340510047451</v>
      </c>
      <c r="AS519" s="96">
        <f t="shared" si="87"/>
        <v>0.14453840960547903</v>
      </c>
      <c r="AT519" s="50">
        <f>IF(head!F$82="S235",235,IF(head!F$82="S275",275,IF(head!F$82="S355",355,IF(head!F$82="S420",420,460))))*AS519*J519/1000</f>
        <v>132.51821582899868</v>
      </c>
      <c r="AU519" s="207" t="s">
        <v>47</v>
      </c>
      <c r="AV519" s="208" t="s">
        <v>47</v>
      </c>
      <c r="AW519" s="208" t="s">
        <v>47</v>
      </c>
      <c r="AX519" s="209" t="s">
        <v>47</v>
      </c>
      <c r="AY519" s="208" t="s">
        <v>47</v>
      </c>
      <c r="AZ519" s="197">
        <v>0</v>
      </c>
      <c r="BA519" s="97" t="str">
        <f t="shared" si="88"/>
        <v>HF CHS 152,4 x 6,3</v>
      </c>
    </row>
    <row r="520" spans="1:53">
      <c r="A520" s="82" t="s">
        <v>634</v>
      </c>
      <c r="B520" s="83">
        <f t="shared" si="83"/>
        <v>147.08796231470924</v>
      </c>
      <c r="C520" s="84">
        <v>152.4</v>
      </c>
      <c r="D520" s="84"/>
      <c r="E520" s="125">
        <v>6.3</v>
      </c>
      <c r="F520" s="84"/>
      <c r="G520" s="84"/>
      <c r="H520" s="85">
        <v>22.699186590227661</v>
      </c>
      <c r="I520" s="86">
        <v>23.132929009149208</v>
      </c>
      <c r="J520" s="86">
        <v>2891.6161261436514</v>
      </c>
      <c r="K520" s="86">
        <v>0.47877872040708452</v>
      </c>
      <c r="L520" s="87">
        <v>7729615.2119961735</v>
      </c>
      <c r="M520" s="88">
        <v>101438.51984246947</v>
      </c>
      <c r="N520" s="88">
        <v>134558.17199999996</v>
      </c>
      <c r="O520" s="89">
        <v>51.702151792744573</v>
      </c>
      <c r="P520" s="88">
        <v>7729615.2119961735</v>
      </c>
      <c r="Q520" s="88">
        <v>101438.51984246947</v>
      </c>
      <c r="R520" s="88">
        <v>134558.17199999996</v>
      </c>
      <c r="S520" s="86">
        <v>51.702151792744573</v>
      </c>
      <c r="T520" s="87">
        <v>15459230.423992347</v>
      </c>
      <c r="U520" s="119"/>
      <c r="V520" s="90">
        <v>1</v>
      </c>
      <c r="W520" s="91">
        <v>1</v>
      </c>
      <c r="X520" s="91">
        <v>1</v>
      </c>
      <c r="Y520" s="91">
        <v>1</v>
      </c>
      <c r="Z520" s="91">
        <v>1</v>
      </c>
      <c r="AA520" s="92">
        <v>1</v>
      </c>
      <c r="AB520" s="91">
        <v>1</v>
      </c>
      <c r="AC520" s="91">
        <v>2</v>
      </c>
      <c r="AD520" s="91">
        <v>2</v>
      </c>
      <c r="AE520" s="91">
        <v>2</v>
      </c>
      <c r="AF520" s="90">
        <v>1</v>
      </c>
      <c r="AG520" s="91">
        <v>1</v>
      </c>
      <c r="AH520" s="91">
        <v>2</v>
      </c>
      <c r="AI520" s="91">
        <v>2</v>
      </c>
      <c r="AJ520" s="91">
        <v>2</v>
      </c>
      <c r="AK520" s="210">
        <f t="shared" si="84"/>
        <v>165.57478569798911</v>
      </c>
      <c r="AL520" s="146"/>
      <c r="AM520" s="94"/>
      <c r="AN520" s="95"/>
      <c r="AO520" s="91" t="str">
        <f>IF(head!$F$82="S460","a0","a")</f>
        <v>a</v>
      </c>
      <c r="AP520" s="91">
        <f t="shared" si="85"/>
        <v>0.21</v>
      </c>
      <c r="AQ520" s="96">
        <f>IF(head!F$82="S235",235,IF(head!F$82="S275",275,IF(head!F$82="S355",355,IF(head!F$82="S420",420,460))))^0.5*head!$G$70*1000/(S520*3.1416*210000^0.5)</f>
        <v>2.5313081797084522</v>
      </c>
      <c r="AR520" s="96">
        <f t="shared" si="86"/>
        <v>3.9485479091988465</v>
      </c>
      <c r="AS520" s="96">
        <f t="shared" si="87"/>
        <v>0.14328744554451456</v>
      </c>
      <c r="AT520" s="50">
        <f>IF(head!F$82="S235",235,IF(head!F$82="S275",275,IF(head!F$82="S355",355,IF(head!F$82="S420",420,460))))*AS520*J520/1000</f>
        <v>147.08796231470924</v>
      </c>
      <c r="AU520" s="207" t="s">
        <v>47</v>
      </c>
      <c r="AV520" s="208" t="s">
        <v>47</v>
      </c>
      <c r="AW520" s="208" t="s">
        <v>47</v>
      </c>
      <c r="AX520" s="209" t="s">
        <v>47</v>
      </c>
      <c r="AY520" s="208" t="s">
        <v>47</v>
      </c>
      <c r="AZ520" s="197">
        <v>0</v>
      </c>
      <c r="BA520" s="97" t="str">
        <f t="shared" si="88"/>
        <v>HF CHS 152,4 x 8</v>
      </c>
    </row>
    <row r="521" spans="1:53">
      <c r="A521" s="82" t="s">
        <v>635</v>
      </c>
      <c r="B521" s="83">
        <f t="shared" si="83"/>
        <v>180.75222288854164</v>
      </c>
      <c r="C521" s="84">
        <v>152.4</v>
      </c>
      <c r="D521" s="84"/>
      <c r="E521" s="125">
        <v>8</v>
      </c>
      <c r="F521" s="84"/>
      <c r="G521" s="84"/>
      <c r="H521" s="85">
        <v>28.48896749240139</v>
      </c>
      <c r="I521" s="86">
        <v>29.033342667415429</v>
      </c>
      <c r="J521" s="86">
        <v>3629.1678334269286</v>
      </c>
      <c r="K521" s="86">
        <v>0.47877872040708452</v>
      </c>
      <c r="L521" s="87">
        <v>9488168.9670680314</v>
      </c>
      <c r="M521" s="88">
        <v>124516.65311112902</v>
      </c>
      <c r="N521" s="88">
        <v>166981.54666666663</v>
      </c>
      <c r="O521" s="89">
        <v>51.131399354995168</v>
      </c>
      <c r="P521" s="88">
        <v>9488168.9670680314</v>
      </c>
      <c r="Q521" s="88">
        <v>124516.65311112902</v>
      </c>
      <c r="R521" s="88">
        <v>166981.54666666663</v>
      </c>
      <c r="S521" s="86">
        <v>51.131399354995168</v>
      </c>
      <c r="T521" s="87">
        <v>18976337.934136063</v>
      </c>
      <c r="U521" s="119"/>
      <c r="V521" s="90">
        <v>1</v>
      </c>
      <c r="W521" s="91">
        <v>1</v>
      </c>
      <c r="X521" s="91">
        <v>1</v>
      </c>
      <c r="Y521" s="91">
        <v>1</v>
      </c>
      <c r="Z521" s="91">
        <v>1</v>
      </c>
      <c r="AA521" s="92">
        <v>1</v>
      </c>
      <c r="AB521" s="91">
        <v>1</v>
      </c>
      <c r="AC521" s="91">
        <v>1</v>
      </c>
      <c r="AD521" s="91">
        <v>1</v>
      </c>
      <c r="AE521" s="91">
        <v>2</v>
      </c>
      <c r="AF521" s="90">
        <v>1</v>
      </c>
      <c r="AG521" s="91">
        <v>1</v>
      </c>
      <c r="AH521" s="91">
        <v>1</v>
      </c>
      <c r="AI521" s="91">
        <v>1</v>
      </c>
      <c r="AJ521" s="91">
        <v>2</v>
      </c>
      <c r="AK521" s="210">
        <f t="shared" si="84"/>
        <v>131.92520775623271</v>
      </c>
      <c r="AL521" s="146"/>
      <c r="AM521" s="94"/>
      <c r="AN521" s="95"/>
      <c r="AO521" s="91" t="str">
        <f>IF(head!$F$82="S460","a0","a")</f>
        <v>a</v>
      </c>
      <c r="AP521" s="91">
        <f t="shared" si="85"/>
        <v>0.21</v>
      </c>
      <c r="AQ521" s="96">
        <f>IF(head!F$82="S235",235,IF(head!F$82="S275",275,IF(head!F$82="S355",355,IF(head!F$82="S420",420,460))))^0.5*head!$G$70*1000/(S521*3.1416*210000^0.5)</f>
        <v>2.5595638177799427</v>
      </c>
      <c r="AR521" s="96">
        <f t="shared" si="86"/>
        <v>4.0234376695110114</v>
      </c>
      <c r="AS521" s="96">
        <f t="shared" si="87"/>
        <v>0.14029695362822087</v>
      </c>
      <c r="AT521" s="50">
        <f>IF(head!F$82="S235",235,IF(head!F$82="S275",275,IF(head!F$82="S355",355,IF(head!F$82="S420",420,460))))*AS521*J521/1000</f>
        <v>180.75222288854164</v>
      </c>
      <c r="AU521" s="207" t="s">
        <v>47</v>
      </c>
      <c r="AV521" s="208" t="s">
        <v>47</v>
      </c>
      <c r="AW521" s="208" t="s">
        <v>47</v>
      </c>
      <c r="AX521" s="209" t="s">
        <v>47</v>
      </c>
      <c r="AY521" s="208" t="s">
        <v>47</v>
      </c>
      <c r="AZ521" s="197">
        <v>0</v>
      </c>
      <c r="BA521" s="97" t="str">
        <f t="shared" si="88"/>
        <v>HF CHS 152,4 x 10</v>
      </c>
    </row>
    <row r="522" spans="1:53">
      <c r="A522" s="82" t="s">
        <v>636</v>
      </c>
      <c r="B522" s="83">
        <f t="shared" si="83"/>
        <v>217.36125702652217</v>
      </c>
      <c r="C522" s="84">
        <v>152.4</v>
      </c>
      <c r="D522" s="84"/>
      <c r="E522" s="125" t="s">
        <v>828</v>
      </c>
      <c r="F522" s="84"/>
      <c r="G522" s="84"/>
      <c r="H522" s="85">
        <v>35.117979318888139</v>
      </c>
      <c r="I522" s="86">
        <v>35.789023509694921</v>
      </c>
      <c r="J522" s="86">
        <v>4473.6279387118657</v>
      </c>
      <c r="K522" s="86">
        <v>0.47877872040708452</v>
      </c>
      <c r="L522" s="87">
        <v>11395314.558045642</v>
      </c>
      <c r="M522" s="88">
        <v>149544.81047303995</v>
      </c>
      <c r="N522" s="88">
        <v>203110.93333333335</v>
      </c>
      <c r="O522" s="89">
        <v>50.469991083811387</v>
      </c>
      <c r="P522" s="88">
        <v>11395314.558045642</v>
      </c>
      <c r="Q522" s="88">
        <v>149544.81047303995</v>
      </c>
      <c r="R522" s="88">
        <v>203110.93333333335</v>
      </c>
      <c r="S522" s="86">
        <v>50.469991083811387</v>
      </c>
      <c r="T522" s="87">
        <v>22790629.116091285</v>
      </c>
      <c r="U522" s="119"/>
      <c r="V522" s="90">
        <v>1</v>
      </c>
      <c r="W522" s="91">
        <v>1</v>
      </c>
      <c r="X522" s="91">
        <v>1</v>
      </c>
      <c r="Y522" s="91">
        <v>1</v>
      </c>
      <c r="Z522" s="91">
        <v>1</v>
      </c>
      <c r="AA522" s="92">
        <v>1</v>
      </c>
      <c r="AB522" s="91">
        <v>1</v>
      </c>
      <c r="AC522" s="91">
        <v>1</v>
      </c>
      <c r="AD522" s="91">
        <v>1</v>
      </c>
      <c r="AE522" s="91">
        <v>1</v>
      </c>
      <c r="AF522" s="90">
        <v>1</v>
      </c>
      <c r="AG522" s="91">
        <v>1</v>
      </c>
      <c r="AH522" s="91">
        <v>1</v>
      </c>
      <c r="AI522" s="91">
        <v>1</v>
      </c>
      <c r="AJ522" s="91">
        <v>1</v>
      </c>
      <c r="AK522" s="210">
        <f t="shared" si="84"/>
        <v>107.02247191011237</v>
      </c>
      <c r="AL522" s="146"/>
      <c r="AM522" s="94"/>
      <c r="AN522" s="95"/>
      <c r="AO522" s="91" t="str">
        <f>IF(head!$F$82="S460","a0","a")</f>
        <v>a</v>
      </c>
      <c r="AP522" s="91">
        <f t="shared" si="85"/>
        <v>0.21</v>
      </c>
      <c r="AQ522" s="96">
        <f>IF(head!F$82="S235",235,IF(head!F$82="S275",275,IF(head!F$82="S355",355,IF(head!F$82="S420",420,460))))^0.5*head!$G$70*1000/(S522*3.1416*210000^0.5)</f>
        <v>2.5931068528260779</v>
      </c>
      <c r="AR522" s="96">
        <f t="shared" si="86"/>
        <v>4.1133777946335215</v>
      </c>
      <c r="AS522" s="96">
        <f t="shared" si="87"/>
        <v>0.1368654790807049</v>
      </c>
      <c r="AT522" s="50">
        <f>IF(head!F$82="S235",235,IF(head!F$82="S275",275,IF(head!F$82="S355",355,IF(head!F$82="S420",420,460))))*AS522*J522/1000</f>
        <v>217.36125702652217</v>
      </c>
      <c r="AU522" s="207" t="s">
        <v>47</v>
      </c>
      <c r="AV522" s="208" t="s">
        <v>47</v>
      </c>
      <c r="AW522" s="208" t="s">
        <v>47</v>
      </c>
      <c r="AX522" s="209" t="s">
        <v>47</v>
      </c>
      <c r="AY522" s="208" t="s">
        <v>47</v>
      </c>
      <c r="AZ522" s="197">
        <v>0</v>
      </c>
      <c r="BA522" s="97" t="str">
        <f t="shared" si="88"/>
        <v>HF CHS 152,4 x 12,5</v>
      </c>
    </row>
    <row r="523" spans="1:53">
      <c r="A523" s="82" t="s">
        <v>637</v>
      </c>
      <c r="B523" s="83">
        <f t="shared" si="83"/>
        <v>258.82512547920845</v>
      </c>
      <c r="C523" s="84">
        <v>152.4</v>
      </c>
      <c r="D523" s="84"/>
      <c r="E523" s="125" t="s">
        <v>829</v>
      </c>
      <c r="F523" s="84"/>
      <c r="G523" s="84"/>
      <c r="H523" s="85">
        <v>43.126802200776424</v>
      </c>
      <c r="I523" s="86">
        <v>43.950881223721197</v>
      </c>
      <c r="J523" s="86">
        <v>5493.8601529651505</v>
      </c>
      <c r="K523" s="86">
        <v>0.47877872040708452</v>
      </c>
      <c r="L523" s="87">
        <v>13548037.687667038</v>
      </c>
      <c r="M523" s="88">
        <v>177795.77017935741</v>
      </c>
      <c r="N523" s="88">
        <v>245301.16666666672</v>
      </c>
      <c r="O523" s="89">
        <v>49.659163303462947</v>
      </c>
      <c r="P523" s="88">
        <v>13548037.687667038</v>
      </c>
      <c r="Q523" s="88">
        <v>177795.77017935741</v>
      </c>
      <c r="R523" s="88">
        <v>245301.16666666672</v>
      </c>
      <c r="S523" s="86">
        <v>49.659163303462947</v>
      </c>
      <c r="T523" s="87">
        <v>27096075.375334077</v>
      </c>
      <c r="U523" s="119"/>
      <c r="V523" s="90">
        <v>1</v>
      </c>
      <c r="W523" s="91">
        <v>1</v>
      </c>
      <c r="X523" s="91">
        <v>1</v>
      </c>
      <c r="Y523" s="91">
        <v>1</v>
      </c>
      <c r="Z523" s="91">
        <v>1</v>
      </c>
      <c r="AA523" s="92">
        <v>1</v>
      </c>
      <c r="AB523" s="91">
        <v>1</v>
      </c>
      <c r="AC523" s="91">
        <v>1</v>
      </c>
      <c r="AD523" s="91">
        <v>1</v>
      </c>
      <c r="AE523" s="91">
        <v>1</v>
      </c>
      <c r="AF523" s="90">
        <v>1</v>
      </c>
      <c r="AG523" s="91">
        <v>1</v>
      </c>
      <c r="AH523" s="91">
        <v>1</v>
      </c>
      <c r="AI523" s="91">
        <v>1</v>
      </c>
      <c r="AJ523" s="91">
        <v>1</v>
      </c>
      <c r="AK523" s="210">
        <f t="shared" si="84"/>
        <v>87.147962830593286</v>
      </c>
      <c r="AL523" s="146"/>
      <c r="AM523" s="94"/>
      <c r="AN523" s="95"/>
      <c r="AO523" s="91" t="str">
        <f>IF(head!$F$82="S460","a0","a")</f>
        <v>a</v>
      </c>
      <c r="AP523" s="91">
        <f t="shared" si="85"/>
        <v>0.21</v>
      </c>
      <c r="AQ523" s="96">
        <f>IF(head!F$82="S235",235,IF(head!F$82="S275",275,IF(head!F$82="S355",355,IF(head!F$82="S420",420,460))))^0.5*head!$G$70*1000/(S523*3.1416*210000^0.5)</f>
        <v>2.6354467340043954</v>
      </c>
      <c r="AR523" s="96">
        <f t="shared" si="86"/>
        <v>4.228511650957679</v>
      </c>
      <c r="AS523" s="96">
        <f t="shared" si="87"/>
        <v>0.13270903157433125</v>
      </c>
      <c r="AT523" s="50">
        <f>IF(head!F$82="S235",235,IF(head!F$82="S275",275,IF(head!F$82="S355",355,IF(head!F$82="S420",420,460))))*AS523*J523/1000</f>
        <v>258.82512547920845</v>
      </c>
      <c r="AU523" s="207" t="s">
        <v>47</v>
      </c>
      <c r="AV523" s="208" t="s">
        <v>47</v>
      </c>
      <c r="AW523" s="208" t="s">
        <v>47</v>
      </c>
      <c r="AX523" s="209" t="s">
        <v>47</v>
      </c>
      <c r="AY523" s="208" t="s">
        <v>47</v>
      </c>
      <c r="AZ523" s="197">
        <v>0</v>
      </c>
      <c r="BA523" s="97" t="str">
        <f t="shared" si="88"/>
        <v>HF CHS 152,4 x 14,2</v>
      </c>
    </row>
    <row r="524" spans="1:53">
      <c r="A524" s="82" t="s">
        <v>638</v>
      </c>
      <c r="B524" s="83">
        <f t="shared" si="83"/>
        <v>284.45250343536026</v>
      </c>
      <c r="C524" s="84">
        <v>152.4</v>
      </c>
      <c r="D524" s="84"/>
      <c r="E524" s="125" t="s">
        <v>830</v>
      </c>
      <c r="F524" s="84"/>
      <c r="G524" s="84"/>
      <c r="H524" s="85">
        <v>48.396718633819418</v>
      </c>
      <c r="I524" s="86">
        <v>49.32149669688603</v>
      </c>
      <c r="J524" s="86">
        <v>6165.1870871107549</v>
      </c>
      <c r="K524" s="86">
        <v>0.47877872040708452</v>
      </c>
      <c r="L524" s="87">
        <v>14874192.018234281</v>
      </c>
      <c r="M524" s="88">
        <v>195199.37031803516</v>
      </c>
      <c r="N524" s="88">
        <v>272163.63733333343</v>
      </c>
      <c r="O524" s="89">
        <v>49.118326518724153</v>
      </c>
      <c r="P524" s="88">
        <v>14874192.018234281</v>
      </c>
      <c r="Q524" s="88">
        <v>195199.37031803516</v>
      </c>
      <c r="R524" s="88">
        <v>272163.63733333343</v>
      </c>
      <c r="S524" s="86">
        <v>49.118326518724153</v>
      </c>
      <c r="T524" s="87">
        <v>29748384.036468562</v>
      </c>
      <c r="U524" s="119"/>
      <c r="V524" s="90">
        <v>1</v>
      </c>
      <c r="W524" s="91">
        <v>1</v>
      </c>
      <c r="X524" s="91">
        <v>1</v>
      </c>
      <c r="Y524" s="91">
        <v>1</v>
      </c>
      <c r="Z524" s="91">
        <v>1</v>
      </c>
      <c r="AA524" s="92">
        <v>1</v>
      </c>
      <c r="AB524" s="91">
        <v>1</v>
      </c>
      <c r="AC524" s="91">
        <v>1</v>
      </c>
      <c r="AD524" s="91">
        <v>1</v>
      </c>
      <c r="AE524" s="91">
        <v>1</v>
      </c>
      <c r="AF524" s="90">
        <v>1</v>
      </c>
      <c r="AG524" s="91">
        <v>1</v>
      </c>
      <c r="AH524" s="91">
        <v>1</v>
      </c>
      <c r="AI524" s="91">
        <v>1</v>
      </c>
      <c r="AJ524" s="91">
        <v>1</v>
      </c>
      <c r="AK524" s="210">
        <f t="shared" si="84"/>
        <v>77.658425225739379</v>
      </c>
      <c r="AL524" s="146"/>
      <c r="AM524" s="94"/>
      <c r="AN524" s="95"/>
      <c r="AO524" s="91" t="str">
        <f>IF(head!$F$82="S460","a0","a")</f>
        <v>a</v>
      </c>
      <c r="AP524" s="91">
        <f t="shared" si="85"/>
        <v>0.21</v>
      </c>
      <c r="AQ524" s="96">
        <f>IF(head!F$82="S235",235,IF(head!F$82="S275",275,IF(head!F$82="S355",355,IF(head!F$82="S420",420,460))))^0.5*head!$G$70*1000/(S524*3.1416*210000^0.5)</f>
        <v>2.6644653638924871</v>
      </c>
      <c r="AR524" s="96">
        <f t="shared" si="86"/>
        <v>4.3084567009000736</v>
      </c>
      <c r="AS524" s="96">
        <f t="shared" si="87"/>
        <v>0.12996761432261797</v>
      </c>
      <c r="AT524" s="50">
        <f>IF(head!F$82="S235",235,IF(head!F$82="S275",275,IF(head!F$82="S355",355,IF(head!F$82="S420",420,460))))*AS524*J524/1000</f>
        <v>284.45250343536026</v>
      </c>
      <c r="AU524" s="207" t="s">
        <v>47</v>
      </c>
      <c r="AV524" s="208" t="s">
        <v>47</v>
      </c>
      <c r="AW524" s="208" t="s">
        <v>47</v>
      </c>
      <c r="AX524" s="209" t="s">
        <v>47</v>
      </c>
      <c r="AY524" s="208" t="s">
        <v>47</v>
      </c>
      <c r="AZ524" s="197">
        <v>0</v>
      </c>
      <c r="BA524" s="97" t="str">
        <f t="shared" si="88"/>
        <v>HF CHS 152,4 x 16</v>
      </c>
    </row>
    <row r="525" spans="1:53">
      <c r="A525" s="82" t="s">
        <v>639</v>
      </c>
      <c r="B525" s="83">
        <f t="shared" si="83"/>
        <v>309.45409490483229</v>
      </c>
      <c r="C525" s="84">
        <v>152.4</v>
      </c>
      <c r="D525" s="84"/>
      <c r="E525" s="125" t="s">
        <v>831</v>
      </c>
      <c r="F525" s="84"/>
      <c r="G525" s="84"/>
      <c r="H525" s="85">
        <v>53.821262686475769</v>
      </c>
      <c r="I525" s="86">
        <v>54.849694457554925</v>
      </c>
      <c r="J525" s="86">
        <v>6856.2118071943651</v>
      </c>
      <c r="K525" s="86">
        <v>0.47877872040708452</v>
      </c>
      <c r="L525" s="87">
        <v>16164342.080877582</v>
      </c>
      <c r="M525" s="88">
        <v>212130.47350233045</v>
      </c>
      <c r="N525" s="88">
        <v>299044.69333333336</v>
      </c>
      <c r="O525" s="89">
        <v>48.555329264664657</v>
      </c>
      <c r="P525" s="88">
        <v>16164342.080877582</v>
      </c>
      <c r="Q525" s="88">
        <v>212130.47350233045</v>
      </c>
      <c r="R525" s="88">
        <v>299044.69333333336</v>
      </c>
      <c r="S525" s="86">
        <v>48.555329264664657</v>
      </c>
      <c r="T525" s="87">
        <v>32328684.161755163</v>
      </c>
      <c r="U525" s="119"/>
      <c r="V525" s="90">
        <v>1</v>
      </c>
      <c r="W525" s="91">
        <v>1</v>
      </c>
      <c r="X525" s="91">
        <v>1</v>
      </c>
      <c r="Y525" s="91">
        <v>1</v>
      </c>
      <c r="Z525" s="91">
        <v>1</v>
      </c>
      <c r="AA525" s="92">
        <v>1</v>
      </c>
      <c r="AB525" s="91">
        <v>1</v>
      </c>
      <c r="AC525" s="91">
        <v>1</v>
      </c>
      <c r="AD525" s="91">
        <v>1</v>
      </c>
      <c r="AE525" s="91">
        <v>1</v>
      </c>
      <c r="AF525" s="90">
        <v>1</v>
      </c>
      <c r="AG525" s="91">
        <v>1</v>
      </c>
      <c r="AH525" s="91">
        <v>1</v>
      </c>
      <c r="AI525" s="91">
        <v>1</v>
      </c>
      <c r="AJ525" s="91">
        <v>1</v>
      </c>
      <c r="AK525" s="210">
        <f t="shared" si="84"/>
        <v>69.831378299120232</v>
      </c>
      <c r="AL525" s="146"/>
      <c r="AM525" s="94"/>
      <c r="AN525" s="95"/>
      <c r="AO525" s="91" t="str">
        <f>IF(head!$F$82="S460","a0","a")</f>
        <v>a</v>
      </c>
      <c r="AP525" s="91">
        <f t="shared" si="85"/>
        <v>0.21</v>
      </c>
      <c r="AQ525" s="96">
        <f>IF(head!F$82="S235",235,IF(head!F$82="S275",275,IF(head!F$82="S355",355,IF(head!F$82="S420",420,460))))^0.5*head!$G$70*1000/(S525*3.1416*210000^0.5)</f>
        <v>2.6953597416286867</v>
      </c>
      <c r="AR525" s="96">
        <f t="shared" si="86"/>
        <v>4.3944948412673428</v>
      </c>
      <c r="AS525" s="96">
        <f t="shared" si="87"/>
        <v>0.12714042393987382</v>
      </c>
      <c r="AT525" s="50">
        <f>IF(head!F$82="S235",235,IF(head!F$82="S275",275,IF(head!F$82="S355",355,IF(head!F$82="S420",420,460))))*AS525*J525/1000</f>
        <v>309.45409490483229</v>
      </c>
      <c r="AU525" s="207" t="s">
        <v>47</v>
      </c>
      <c r="AV525" s="208" t="s">
        <v>47</v>
      </c>
      <c r="AW525" s="208" t="s">
        <v>47</v>
      </c>
      <c r="AX525" s="209" t="s">
        <v>47</v>
      </c>
      <c r="AY525" s="208" t="s">
        <v>47</v>
      </c>
      <c r="AZ525" s="197">
        <v>0</v>
      </c>
      <c r="BA525" s="97" t="str">
        <f t="shared" si="88"/>
        <v>HF CHS 152,4 x 17,5</v>
      </c>
    </row>
    <row r="526" spans="1:53">
      <c r="A526" s="82" t="s">
        <v>640</v>
      </c>
      <c r="B526" s="83">
        <f t="shared" si="83"/>
        <v>328.69730729261886</v>
      </c>
      <c r="C526" s="84">
        <v>152.4</v>
      </c>
      <c r="D526" s="84"/>
      <c r="E526" s="125" t="s">
        <v>832</v>
      </c>
      <c r="F526" s="84"/>
      <c r="G526" s="84"/>
      <c r="H526" s="85">
        <v>58.219641627152512</v>
      </c>
      <c r="I526" s="86">
        <v>59.332118855696827</v>
      </c>
      <c r="J526" s="86">
        <v>7416.5148569621042</v>
      </c>
      <c r="K526" s="86">
        <v>0.47877872040708452</v>
      </c>
      <c r="L526" s="87">
        <v>17154639.9008862</v>
      </c>
      <c r="M526" s="88">
        <v>225126.50788564567</v>
      </c>
      <c r="N526" s="88">
        <v>320251.63333333336</v>
      </c>
      <c r="O526" s="89">
        <v>48.093996506840647</v>
      </c>
      <c r="P526" s="88">
        <v>17154639.9008862</v>
      </c>
      <c r="Q526" s="88">
        <v>225126.50788564567</v>
      </c>
      <c r="R526" s="88">
        <v>320251.63333333336</v>
      </c>
      <c r="S526" s="86">
        <v>48.093996506840647</v>
      </c>
      <c r="T526" s="87">
        <v>34309279.801772401</v>
      </c>
      <c r="U526" s="119"/>
      <c r="V526" s="90">
        <v>1</v>
      </c>
      <c r="W526" s="91">
        <v>1</v>
      </c>
      <c r="X526" s="91">
        <v>1</v>
      </c>
      <c r="Y526" s="91">
        <v>1</v>
      </c>
      <c r="Z526" s="91">
        <v>1</v>
      </c>
      <c r="AA526" s="92">
        <v>1</v>
      </c>
      <c r="AB526" s="91">
        <v>1</v>
      </c>
      <c r="AC526" s="91">
        <v>1</v>
      </c>
      <c r="AD526" s="91">
        <v>1</v>
      </c>
      <c r="AE526" s="91">
        <v>1</v>
      </c>
      <c r="AF526" s="90">
        <v>1</v>
      </c>
      <c r="AG526" s="91">
        <v>1</v>
      </c>
      <c r="AH526" s="91">
        <v>1</v>
      </c>
      <c r="AI526" s="91">
        <v>1</v>
      </c>
      <c r="AJ526" s="91">
        <v>1</v>
      </c>
      <c r="AK526" s="210">
        <f t="shared" si="84"/>
        <v>64.555755586148479</v>
      </c>
      <c r="AL526" s="146"/>
      <c r="AM526" s="94"/>
      <c r="AN526" s="95"/>
      <c r="AO526" s="91" t="str">
        <f>IF(head!$F$82="S460","a0","a")</f>
        <v>a</v>
      </c>
      <c r="AP526" s="91">
        <f t="shared" si="85"/>
        <v>0.21</v>
      </c>
      <c r="AQ526" s="96">
        <f>IF(head!F$82="S235",235,IF(head!F$82="S275",275,IF(head!F$82="S355",355,IF(head!F$82="S420",420,460))))^0.5*head!$G$70*1000/(S526*3.1416*210000^0.5)</f>
        <v>2.7212144809568377</v>
      </c>
      <c r="AR526" s="96">
        <f t="shared" si="86"/>
        <v>4.4672316461850636</v>
      </c>
      <c r="AS526" s="96">
        <f t="shared" si="87"/>
        <v>0.12484407106625756</v>
      </c>
      <c r="AT526" s="50">
        <f>IF(head!F$82="S235",235,IF(head!F$82="S275",275,IF(head!F$82="S355",355,IF(head!F$82="S420",420,460))))*AS526*J526/1000</f>
        <v>328.69730729261886</v>
      </c>
      <c r="AU526" s="207" t="s">
        <v>47</v>
      </c>
      <c r="AV526" s="208" t="s">
        <v>47</v>
      </c>
      <c r="AW526" s="208" t="s">
        <v>47</v>
      </c>
      <c r="AX526" s="209" t="s">
        <v>47</v>
      </c>
      <c r="AY526" s="208" t="s">
        <v>47</v>
      </c>
      <c r="AZ526" s="197">
        <v>0</v>
      </c>
      <c r="BA526" s="97" t="str">
        <f t="shared" si="88"/>
        <v>HF CHS 152,4 x 20</v>
      </c>
    </row>
    <row r="527" spans="1:53">
      <c r="A527" s="82" t="s">
        <v>641</v>
      </c>
      <c r="B527" s="83">
        <f t="shared" si="83"/>
        <v>357.74763469181147</v>
      </c>
      <c r="C527" s="84">
        <v>152.4</v>
      </c>
      <c r="D527" s="84"/>
      <c r="E527" s="125" t="s">
        <v>833</v>
      </c>
      <c r="F527" s="84"/>
      <c r="G527" s="84"/>
      <c r="H527" s="85">
        <v>65.303658171640308</v>
      </c>
      <c r="I527" s="86">
        <v>66.551498773646173</v>
      </c>
      <c r="J527" s="86">
        <v>8318.9373467057721</v>
      </c>
      <c r="K527" s="86">
        <v>0.47877872040708452</v>
      </c>
      <c r="L527" s="87">
        <v>18644568.760183912</v>
      </c>
      <c r="M527" s="88">
        <v>244679.38005490694</v>
      </c>
      <c r="N527" s="88">
        <v>353261.8666666667</v>
      </c>
      <c r="O527" s="89">
        <v>47.341525112737976</v>
      </c>
      <c r="P527" s="88">
        <v>18644568.760183912</v>
      </c>
      <c r="Q527" s="88">
        <v>244679.38005490694</v>
      </c>
      <c r="R527" s="88">
        <v>353261.8666666667</v>
      </c>
      <c r="S527" s="86">
        <v>47.341525112737976</v>
      </c>
      <c r="T527" s="87">
        <v>37289137.520367824</v>
      </c>
      <c r="U527" s="119"/>
      <c r="V527" s="90">
        <v>1</v>
      </c>
      <c r="W527" s="91">
        <v>1</v>
      </c>
      <c r="X527" s="91">
        <v>1</v>
      </c>
      <c r="Y527" s="91">
        <v>1</v>
      </c>
      <c r="Z527" s="91">
        <v>1</v>
      </c>
      <c r="AA527" s="92">
        <v>1</v>
      </c>
      <c r="AB527" s="91">
        <v>1</v>
      </c>
      <c r="AC527" s="91">
        <v>1</v>
      </c>
      <c r="AD527" s="91">
        <v>1</v>
      </c>
      <c r="AE527" s="91">
        <v>1</v>
      </c>
      <c r="AF527" s="90">
        <v>1</v>
      </c>
      <c r="AG527" s="91">
        <v>1</v>
      </c>
      <c r="AH527" s="91">
        <v>1</v>
      </c>
      <c r="AI527" s="91">
        <v>1</v>
      </c>
      <c r="AJ527" s="91">
        <v>1</v>
      </c>
      <c r="AK527" s="210">
        <f t="shared" si="84"/>
        <v>57.55287009063445</v>
      </c>
      <c r="AL527" s="146"/>
      <c r="AM527" s="94"/>
      <c r="AN527" s="95"/>
      <c r="AO527" s="91" t="str">
        <f>IF(head!$F$82="S460","a0","a")</f>
        <v>a</v>
      </c>
      <c r="AP527" s="91">
        <f t="shared" si="85"/>
        <v>0.21</v>
      </c>
      <c r="AQ527" s="96">
        <f>IF(head!F$82="S235",235,IF(head!F$82="S275",275,IF(head!F$82="S355",355,IF(head!F$82="S420",420,460))))^0.5*head!$G$70*1000/(S527*3.1416*210000^0.5)</f>
        <v>2.7644669120786021</v>
      </c>
      <c r="AR527" s="96">
        <f t="shared" si="86"/>
        <v>4.5904076797569537</v>
      </c>
      <c r="AS527" s="96">
        <f t="shared" si="87"/>
        <v>0.12113804612704868</v>
      </c>
      <c r="AT527" s="50">
        <f>IF(head!F$82="S235",235,IF(head!F$82="S275",275,IF(head!F$82="S355",355,IF(head!F$82="S420",420,460))))*AS527*J527/1000</f>
        <v>357.74763469181147</v>
      </c>
      <c r="AU527" s="207" t="s">
        <v>47</v>
      </c>
      <c r="AV527" s="208" t="s">
        <v>47</v>
      </c>
      <c r="AW527" s="208" t="s">
        <v>47</v>
      </c>
      <c r="AX527" s="209" t="s">
        <v>47</v>
      </c>
      <c r="AY527" s="208" t="s">
        <v>47</v>
      </c>
      <c r="AZ527" s="197">
        <v>0</v>
      </c>
      <c r="BA527" s="97" t="str">
        <f t="shared" si="88"/>
        <v>HF CHS 159 x 5,6</v>
      </c>
    </row>
    <row r="528" spans="1:53">
      <c r="A528" s="82" t="s">
        <v>642</v>
      </c>
      <c r="B528" s="83">
        <f t="shared" si="83"/>
        <v>150.49123288633555</v>
      </c>
      <c r="C528" s="84">
        <v>159</v>
      </c>
      <c r="D528" s="84"/>
      <c r="E528" s="125" t="s">
        <v>823</v>
      </c>
      <c r="F528" s="84"/>
      <c r="G528" s="84"/>
      <c r="H528" s="85">
        <v>21.185216962147216</v>
      </c>
      <c r="I528" s="86">
        <v>21.590030025118182</v>
      </c>
      <c r="J528" s="86">
        <v>2698.7537531397729</v>
      </c>
      <c r="K528" s="86">
        <v>0.49951323192077712</v>
      </c>
      <c r="L528" s="87">
        <v>7948814.8481165282</v>
      </c>
      <c r="M528" s="88">
        <v>99985.09242913872</v>
      </c>
      <c r="N528" s="88">
        <v>131835.27466666652</v>
      </c>
      <c r="O528" s="89">
        <v>54.271217049187321</v>
      </c>
      <c r="P528" s="88">
        <v>7948814.8481165282</v>
      </c>
      <c r="Q528" s="88">
        <v>99985.09242913872</v>
      </c>
      <c r="R528" s="88">
        <v>131835.27466666652</v>
      </c>
      <c r="S528" s="86">
        <v>54.271217049187321</v>
      </c>
      <c r="T528" s="87">
        <v>15897629.696233056</v>
      </c>
      <c r="U528" s="119"/>
      <c r="V528" s="90">
        <v>1</v>
      </c>
      <c r="W528" s="91">
        <v>1</v>
      </c>
      <c r="X528" s="91">
        <v>1</v>
      </c>
      <c r="Y528" s="91">
        <v>2</v>
      </c>
      <c r="Z528" s="91">
        <v>2</v>
      </c>
      <c r="AA528" s="92">
        <v>1</v>
      </c>
      <c r="AB528" s="91">
        <v>1</v>
      </c>
      <c r="AC528" s="91">
        <v>2</v>
      </c>
      <c r="AD528" s="91">
        <v>3</v>
      </c>
      <c r="AE528" s="91">
        <v>3</v>
      </c>
      <c r="AF528" s="90">
        <v>1</v>
      </c>
      <c r="AG528" s="91">
        <v>1</v>
      </c>
      <c r="AH528" s="91">
        <v>2</v>
      </c>
      <c r="AI528" s="91">
        <v>3</v>
      </c>
      <c r="AJ528" s="91">
        <v>3</v>
      </c>
      <c r="AK528" s="210">
        <f t="shared" si="84"/>
        <v>185.09033339541836</v>
      </c>
      <c r="AL528" s="146"/>
      <c r="AM528" s="94"/>
      <c r="AN528" s="95"/>
      <c r="AO528" s="91" t="str">
        <f>IF(head!$F$82="S460","a0","a")</f>
        <v>a</v>
      </c>
      <c r="AP528" s="91">
        <f t="shared" si="85"/>
        <v>0.21</v>
      </c>
      <c r="AQ528" s="96">
        <f>IF(head!F$82="S235",235,IF(head!F$82="S275",275,IF(head!F$82="S355",355,IF(head!F$82="S420",420,460))))^0.5*head!$G$70*1000/(S528*3.1416*210000^0.5)</f>
        <v>2.4114823078850063</v>
      </c>
      <c r="AR528" s="96">
        <f t="shared" si="86"/>
        <v>3.6398291029491237</v>
      </c>
      <c r="AS528" s="96">
        <f t="shared" si="87"/>
        <v>0.15707952805394249</v>
      </c>
      <c r="AT528" s="50">
        <f>IF(head!F$82="S235",235,IF(head!F$82="S275",275,IF(head!F$82="S355",355,IF(head!F$82="S420",420,460))))*AS528*J528/1000</f>
        <v>150.49123288633555</v>
      </c>
      <c r="AU528" s="207" t="s">
        <v>47</v>
      </c>
      <c r="AV528" s="208" t="s">
        <v>47</v>
      </c>
      <c r="AW528" s="208" t="s">
        <v>47</v>
      </c>
      <c r="AX528" s="209" t="s">
        <v>47</v>
      </c>
      <c r="AY528" s="208" t="s">
        <v>47</v>
      </c>
      <c r="AZ528" s="197">
        <v>0</v>
      </c>
      <c r="BA528" s="97" t="str">
        <f t="shared" si="88"/>
        <v>HF CHS 159 x 6,3</v>
      </c>
    </row>
    <row r="529" spans="1:53">
      <c r="A529" s="82" t="s">
        <v>643</v>
      </c>
      <c r="B529" s="83">
        <f t="shared" si="83"/>
        <v>167.13692086725698</v>
      </c>
      <c r="C529" s="84">
        <v>159</v>
      </c>
      <c r="D529" s="84"/>
      <c r="E529" s="125">
        <v>6.3</v>
      </c>
      <c r="F529" s="84"/>
      <c r="G529" s="84"/>
      <c r="H529" s="85">
        <v>23.724611857137329</v>
      </c>
      <c r="I529" s="86">
        <v>24.177948389439315</v>
      </c>
      <c r="J529" s="86">
        <v>3022.2435486799145</v>
      </c>
      <c r="K529" s="86">
        <v>0.49951323192077712</v>
      </c>
      <c r="L529" s="87">
        <v>8823810.265205726</v>
      </c>
      <c r="M529" s="88">
        <v>110991.32409063805</v>
      </c>
      <c r="N529" s="88">
        <v>146982.27599999993</v>
      </c>
      <c r="O529" s="89">
        <v>54.03353125606359</v>
      </c>
      <c r="P529" s="88">
        <v>8823810.265205726</v>
      </c>
      <c r="Q529" s="88">
        <v>110991.32409063805</v>
      </c>
      <c r="R529" s="88">
        <v>146982.27599999993</v>
      </c>
      <c r="S529" s="86">
        <v>54.03353125606359</v>
      </c>
      <c r="T529" s="87">
        <v>17647620.530411452</v>
      </c>
      <c r="U529" s="119"/>
      <c r="V529" s="90">
        <v>1</v>
      </c>
      <c r="W529" s="91">
        <v>1</v>
      </c>
      <c r="X529" s="91">
        <v>1</v>
      </c>
      <c r="Y529" s="91">
        <v>1</v>
      </c>
      <c r="Z529" s="91">
        <v>1</v>
      </c>
      <c r="AA529" s="92">
        <v>1</v>
      </c>
      <c r="AB529" s="91">
        <v>1</v>
      </c>
      <c r="AC529" s="91">
        <v>2</v>
      </c>
      <c r="AD529" s="91">
        <v>2</v>
      </c>
      <c r="AE529" s="91">
        <v>2</v>
      </c>
      <c r="AF529" s="90">
        <v>1</v>
      </c>
      <c r="AG529" s="91">
        <v>1</v>
      </c>
      <c r="AH529" s="91">
        <v>2</v>
      </c>
      <c r="AI529" s="91">
        <v>2</v>
      </c>
      <c r="AJ529" s="91">
        <v>2</v>
      </c>
      <c r="AK529" s="210">
        <f t="shared" si="84"/>
        <v>165.27894720429114</v>
      </c>
      <c r="AL529" s="146"/>
      <c r="AM529" s="94"/>
      <c r="AN529" s="95"/>
      <c r="AO529" s="91" t="str">
        <f>IF(head!$F$82="S460","a0","a")</f>
        <v>a</v>
      </c>
      <c r="AP529" s="91">
        <f t="shared" si="85"/>
        <v>0.21</v>
      </c>
      <c r="AQ529" s="96">
        <f>IF(head!F$82="S235",235,IF(head!F$82="S275",275,IF(head!F$82="S355",355,IF(head!F$82="S420",420,460))))^0.5*head!$G$70*1000/(S529*3.1416*210000^0.5)</f>
        <v>2.4220900744260683</v>
      </c>
      <c r="AR529" s="96">
        <f t="shared" si="86"/>
        <v>3.6665796221313753</v>
      </c>
      <c r="AS529" s="96">
        <f t="shared" si="87"/>
        <v>0.15578103492047632</v>
      </c>
      <c r="AT529" s="50">
        <f>IF(head!F$82="S235",235,IF(head!F$82="S275",275,IF(head!F$82="S355",355,IF(head!F$82="S420",420,460))))*AS529*J529/1000</f>
        <v>167.13692086725698</v>
      </c>
      <c r="AU529" s="207" t="s">
        <v>47</v>
      </c>
      <c r="AV529" s="208" t="s">
        <v>47</v>
      </c>
      <c r="AW529" s="208" t="s">
        <v>47</v>
      </c>
      <c r="AX529" s="209" t="s">
        <v>47</v>
      </c>
      <c r="AY529" s="208" t="s">
        <v>47</v>
      </c>
      <c r="AZ529" s="197">
        <v>0</v>
      </c>
      <c r="BA529" s="97" t="str">
        <f t="shared" si="88"/>
        <v>HF CHS 159 x 7,1</v>
      </c>
    </row>
    <row r="530" spans="1:53">
      <c r="A530" s="82" t="s">
        <v>644</v>
      </c>
      <c r="B530" s="83">
        <f t="shared" si="83"/>
        <v>185.60538763971343</v>
      </c>
      <c r="C530" s="84">
        <v>159</v>
      </c>
      <c r="D530" s="84"/>
      <c r="E530" s="125" t="s">
        <v>825</v>
      </c>
      <c r="F530" s="84"/>
      <c r="G530" s="84"/>
      <c r="H530" s="85">
        <v>26.597183648614909</v>
      </c>
      <c r="I530" s="86">
        <v>27.105410087760415</v>
      </c>
      <c r="J530" s="86">
        <v>3388.1762609700522</v>
      </c>
      <c r="K530" s="86">
        <v>0.49951323192077712</v>
      </c>
      <c r="L530" s="87">
        <v>9793531.9527745917</v>
      </c>
      <c r="M530" s="88">
        <v>123189.081166976</v>
      </c>
      <c r="N530" s="88">
        <v>163941.93466666652</v>
      </c>
      <c r="O530" s="89">
        <v>53.763393680086836</v>
      </c>
      <c r="P530" s="88">
        <v>9793531.9527745917</v>
      </c>
      <c r="Q530" s="88">
        <v>123189.081166976</v>
      </c>
      <c r="R530" s="88">
        <v>163941.93466666652</v>
      </c>
      <c r="S530" s="86">
        <v>53.763393680086836</v>
      </c>
      <c r="T530" s="87">
        <v>19587063.905549183</v>
      </c>
      <c r="U530" s="119"/>
      <c r="V530" s="90">
        <v>1</v>
      </c>
      <c r="W530" s="91">
        <v>1</v>
      </c>
      <c r="X530" s="91">
        <v>1</v>
      </c>
      <c r="Y530" s="91">
        <v>1</v>
      </c>
      <c r="Z530" s="91">
        <v>1</v>
      </c>
      <c r="AA530" s="92">
        <v>1</v>
      </c>
      <c r="AB530" s="91">
        <v>1</v>
      </c>
      <c r="AC530" s="91">
        <v>1</v>
      </c>
      <c r="AD530" s="91">
        <v>2</v>
      </c>
      <c r="AE530" s="91">
        <v>2</v>
      </c>
      <c r="AF530" s="90">
        <v>1</v>
      </c>
      <c r="AG530" s="91">
        <v>1</v>
      </c>
      <c r="AH530" s="91">
        <v>1</v>
      </c>
      <c r="AI530" s="91">
        <v>2</v>
      </c>
      <c r="AJ530" s="91">
        <v>2</v>
      </c>
      <c r="AK530" s="210">
        <f t="shared" si="84"/>
        <v>147.42834889521478</v>
      </c>
      <c r="AL530" s="146"/>
      <c r="AM530" s="94"/>
      <c r="AN530" s="95"/>
      <c r="AO530" s="91" t="str">
        <f>IF(head!$F$82="S460","a0","a")</f>
        <v>a</v>
      </c>
      <c r="AP530" s="91">
        <f t="shared" si="85"/>
        <v>0.21</v>
      </c>
      <c r="AQ530" s="96">
        <f>IF(head!F$82="S235",235,IF(head!F$82="S275",275,IF(head!F$82="S355",355,IF(head!F$82="S420",420,460))))^0.5*head!$G$70*1000/(S530*3.1416*210000^0.5)</f>
        <v>2.4342600193777608</v>
      </c>
      <c r="AR530" s="96">
        <f t="shared" si="86"/>
        <v>3.6974082230051728</v>
      </c>
      <c r="AS530" s="96">
        <f t="shared" si="87"/>
        <v>0.15431076708761843</v>
      </c>
      <c r="AT530" s="50">
        <f>IF(head!F$82="S235",235,IF(head!F$82="S275",275,IF(head!F$82="S355",355,IF(head!F$82="S420",420,460))))*AS530*J530/1000</f>
        <v>185.60538763971343</v>
      </c>
      <c r="AU530" s="207" t="s">
        <v>47</v>
      </c>
      <c r="AV530" s="208" t="s">
        <v>47</v>
      </c>
      <c r="AW530" s="208" t="s">
        <v>47</v>
      </c>
      <c r="AX530" s="209" t="s">
        <v>47</v>
      </c>
      <c r="AY530" s="208" t="s">
        <v>47</v>
      </c>
      <c r="AZ530" s="197">
        <v>0</v>
      </c>
      <c r="BA530" s="97" t="str">
        <f t="shared" si="88"/>
        <v>HF CHS 159 x 8</v>
      </c>
    </row>
    <row r="531" spans="1:53">
      <c r="A531" s="82" t="s">
        <v>645</v>
      </c>
      <c r="B531" s="83">
        <f t="shared" si="83"/>
        <v>205.6889773996688</v>
      </c>
      <c r="C531" s="84">
        <v>159</v>
      </c>
      <c r="D531" s="84"/>
      <c r="E531" s="125" t="s">
        <v>826</v>
      </c>
      <c r="F531" s="84"/>
      <c r="G531" s="84"/>
      <c r="H531" s="85">
        <v>29.791094815461289</v>
      </c>
      <c r="I531" s="86">
        <v>30.360351404291759</v>
      </c>
      <c r="J531" s="86">
        <v>3795.0439255364699</v>
      </c>
      <c r="K531" s="86">
        <v>0.49951323192077712</v>
      </c>
      <c r="L531" s="87">
        <v>10846709.919673923</v>
      </c>
      <c r="M531" s="88">
        <v>136436.60276319401</v>
      </c>
      <c r="N531" s="88">
        <v>182578.66666666666</v>
      </c>
      <c r="O531" s="89">
        <v>53.461434698294433</v>
      </c>
      <c r="P531" s="88">
        <v>10846709.919673923</v>
      </c>
      <c r="Q531" s="88">
        <v>136436.60276319401</v>
      </c>
      <c r="R531" s="88">
        <v>182578.66666666666</v>
      </c>
      <c r="S531" s="86">
        <v>53.461434698294433</v>
      </c>
      <c r="T531" s="87">
        <v>21693419.839347847</v>
      </c>
      <c r="U531" s="119"/>
      <c r="V531" s="90">
        <v>1</v>
      </c>
      <c r="W531" s="91">
        <v>1</v>
      </c>
      <c r="X531" s="91">
        <v>1</v>
      </c>
      <c r="Y531" s="91">
        <v>1</v>
      </c>
      <c r="Z531" s="91">
        <v>1</v>
      </c>
      <c r="AA531" s="92">
        <v>1</v>
      </c>
      <c r="AB531" s="91">
        <v>1</v>
      </c>
      <c r="AC531" s="91">
        <v>1</v>
      </c>
      <c r="AD531" s="91">
        <v>1</v>
      </c>
      <c r="AE531" s="91">
        <v>2</v>
      </c>
      <c r="AF531" s="90">
        <v>1</v>
      </c>
      <c r="AG531" s="91">
        <v>1</v>
      </c>
      <c r="AH531" s="91">
        <v>1</v>
      </c>
      <c r="AI531" s="91">
        <v>1</v>
      </c>
      <c r="AJ531" s="91">
        <v>2</v>
      </c>
      <c r="AK531" s="210">
        <f t="shared" si="84"/>
        <v>131.6225165562914</v>
      </c>
      <c r="AL531" s="146"/>
      <c r="AM531" s="94"/>
      <c r="AN531" s="95"/>
      <c r="AO531" s="91" t="str">
        <f>IF(head!$F$82="S460","a0","a")</f>
        <v>a</v>
      </c>
      <c r="AP531" s="91">
        <f t="shared" si="85"/>
        <v>0.21</v>
      </c>
      <c r="AQ531" s="96">
        <f>IF(head!F$82="S235",235,IF(head!F$82="S275",275,IF(head!F$82="S355",355,IF(head!F$82="S420",420,460))))^0.5*head!$G$70*1000/(S531*3.1416*210000^0.5)</f>
        <v>2.4480091205946928</v>
      </c>
      <c r="AR531" s="96">
        <f t="shared" si="86"/>
        <v>3.7324152849198433</v>
      </c>
      <c r="AS531" s="96">
        <f t="shared" si="87"/>
        <v>0.15267427242176307</v>
      </c>
      <c r="AT531" s="50">
        <f>IF(head!F$82="S235",235,IF(head!F$82="S275",275,IF(head!F$82="S355",355,IF(head!F$82="S420",420,460))))*AS531*J531/1000</f>
        <v>205.6889773996688</v>
      </c>
      <c r="AU531" s="207" t="s">
        <v>47</v>
      </c>
      <c r="AV531" s="208" t="s">
        <v>47</v>
      </c>
      <c r="AW531" s="208" t="s">
        <v>47</v>
      </c>
      <c r="AX531" s="209" t="s">
        <v>47</v>
      </c>
      <c r="AY531" s="208" t="s">
        <v>47</v>
      </c>
      <c r="AZ531" s="197">
        <v>0</v>
      </c>
      <c r="BA531" s="97" t="str">
        <f t="shared" si="88"/>
        <v>HF CHS 159 x 10</v>
      </c>
    </row>
    <row r="532" spans="1:53">
      <c r="A532" s="82" t="s">
        <v>646</v>
      </c>
      <c r="B532" s="83">
        <f t="shared" si="83"/>
        <v>247.77373290274215</v>
      </c>
      <c r="C532" s="84">
        <v>159</v>
      </c>
      <c r="D532" s="84"/>
      <c r="E532" s="125" t="s">
        <v>828</v>
      </c>
      <c r="F532" s="84"/>
      <c r="G532" s="84"/>
      <c r="H532" s="85">
        <v>36.745638472713011</v>
      </c>
      <c r="I532" s="86">
        <v>37.447784430790328</v>
      </c>
      <c r="J532" s="86">
        <v>4680.973053848792</v>
      </c>
      <c r="K532" s="86">
        <v>0.49951323192077712</v>
      </c>
      <c r="L532" s="87">
        <v>13048797.509235239</v>
      </c>
      <c r="M532" s="88">
        <v>164135.81772622943</v>
      </c>
      <c r="N532" s="88">
        <v>222343.33333333334</v>
      </c>
      <c r="O532" s="89">
        <v>52.79796397589589</v>
      </c>
      <c r="P532" s="88">
        <v>13048797.509235239</v>
      </c>
      <c r="Q532" s="88">
        <v>164135.81772622943</v>
      </c>
      <c r="R532" s="88">
        <v>222343.33333333334</v>
      </c>
      <c r="S532" s="86">
        <v>52.79796397589589</v>
      </c>
      <c r="T532" s="87">
        <v>26097595.018470477</v>
      </c>
      <c r="U532" s="119"/>
      <c r="V532" s="90">
        <v>1</v>
      </c>
      <c r="W532" s="91">
        <v>1</v>
      </c>
      <c r="X532" s="91">
        <v>1</v>
      </c>
      <c r="Y532" s="91">
        <v>1</v>
      </c>
      <c r="Z532" s="91">
        <v>1</v>
      </c>
      <c r="AA532" s="92">
        <v>1</v>
      </c>
      <c r="AB532" s="91">
        <v>1</v>
      </c>
      <c r="AC532" s="91">
        <v>1</v>
      </c>
      <c r="AD532" s="91">
        <v>1</v>
      </c>
      <c r="AE532" s="91">
        <v>1</v>
      </c>
      <c r="AF532" s="90">
        <v>1</v>
      </c>
      <c r="AG532" s="91">
        <v>1</v>
      </c>
      <c r="AH532" s="91">
        <v>1</v>
      </c>
      <c r="AI532" s="91">
        <v>1</v>
      </c>
      <c r="AJ532" s="91">
        <v>1</v>
      </c>
      <c r="AK532" s="210">
        <f t="shared" si="84"/>
        <v>106.71140939597315</v>
      </c>
      <c r="AL532" s="146"/>
      <c r="AM532" s="94"/>
      <c r="AN532" s="95"/>
      <c r="AO532" s="91" t="str">
        <f>IF(head!$F$82="S460","a0","a")</f>
        <v>a</v>
      </c>
      <c r="AP532" s="91">
        <f t="shared" si="85"/>
        <v>0.21</v>
      </c>
      <c r="AQ532" s="96">
        <f>IF(head!F$82="S235",235,IF(head!F$82="S275",275,IF(head!F$82="S355",355,IF(head!F$82="S420",420,460))))^0.5*head!$G$70*1000/(S532*3.1416*210000^0.5)</f>
        <v>2.4787713367366009</v>
      </c>
      <c r="AR532" s="96">
        <f t="shared" si="86"/>
        <v>3.8114246602708208</v>
      </c>
      <c r="AS532" s="96">
        <f t="shared" si="87"/>
        <v>0.14910450651215579</v>
      </c>
      <c r="AT532" s="50">
        <f>IF(head!F$82="S235",235,IF(head!F$82="S275",275,IF(head!F$82="S355",355,IF(head!F$82="S420",420,460))))*AS532*J532/1000</f>
        <v>247.77373290274215</v>
      </c>
      <c r="AU532" s="207" t="s">
        <v>47</v>
      </c>
      <c r="AV532" s="208" t="s">
        <v>47</v>
      </c>
      <c r="AW532" s="208" t="s">
        <v>47</v>
      </c>
      <c r="AX532" s="209" t="s">
        <v>47</v>
      </c>
      <c r="AY532" s="208" t="s">
        <v>47</v>
      </c>
      <c r="AZ532" s="197">
        <v>0</v>
      </c>
      <c r="BA532" s="97" t="str">
        <f t="shared" si="88"/>
        <v>HF CHS 159 x 12,5</v>
      </c>
    </row>
    <row r="533" spans="1:53">
      <c r="A533" s="82" t="s">
        <v>647</v>
      </c>
      <c r="B533" s="83">
        <f t="shared" si="83"/>
        <v>295.67413400247142</v>
      </c>
      <c r="C533" s="84">
        <v>159</v>
      </c>
      <c r="D533" s="84"/>
      <c r="E533" s="125" t="s">
        <v>829</v>
      </c>
      <c r="F533" s="84"/>
      <c r="G533" s="84"/>
      <c r="H533" s="85">
        <v>45.161376143057517</v>
      </c>
      <c r="I533" s="86">
        <v>46.024332375090459</v>
      </c>
      <c r="J533" s="86">
        <v>5753.0415468863084</v>
      </c>
      <c r="K533" s="86">
        <v>0.49951323192077712</v>
      </c>
      <c r="L533" s="87">
        <v>15546516.085170208</v>
      </c>
      <c r="M533" s="88">
        <v>195553.66144868187</v>
      </c>
      <c r="N533" s="88">
        <v>268929.16666666669</v>
      </c>
      <c r="O533" s="89">
        <v>51.983771506115254</v>
      </c>
      <c r="P533" s="88">
        <v>15546516.085170208</v>
      </c>
      <c r="Q533" s="88">
        <v>195553.66144868187</v>
      </c>
      <c r="R533" s="88">
        <v>268929.16666666669</v>
      </c>
      <c r="S533" s="86">
        <v>51.983771506115254</v>
      </c>
      <c r="T533" s="87">
        <v>31093032.170340415</v>
      </c>
      <c r="U533" s="119"/>
      <c r="V533" s="90">
        <v>1</v>
      </c>
      <c r="W533" s="91">
        <v>1</v>
      </c>
      <c r="X533" s="91">
        <v>1</v>
      </c>
      <c r="Y533" s="91">
        <v>1</v>
      </c>
      <c r="Z533" s="91">
        <v>1</v>
      </c>
      <c r="AA533" s="92">
        <v>1</v>
      </c>
      <c r="AB533" s="91">
        <v>1</v>
      </c>
      <c r="AC533" s="91">
        <v>1</v>
      </c>
      <c r="AD533" s="91">
        <v>1</v>
      </c>
      <c r="AE533" s="91">
        <v>1</v>
      </c>
      <c r="AF533" s="90">
        <v>1</v>
      </c>
      <c r="AG533" s="91">
        <v>1</v>
      </c>
      <c r="AH533" s="91">
        <v>1</v>
      </c>
      <c r="AI533" s="91">
        <v>1</v>
      </c>
      <c r="AJ533" s="91">
        <v>1</v>
      </c>
      <c r="AK533" s="210">
        <f t="shared" si="84"/>
        <v>86.825938566552907</v>
      </c>
      <c r="AL533" s="146"/>
      <c r="AM533" s="94"/>
      <c r="AN533" s="95"/>
      <c r="AO533" s="91" t="str">
        <f>IF(head!$F$82="S460","a0","a")</f>
        <v>a</v>
      </c>
      <c r="AP533" s="91">
        <f t="shared" si="85"/>
        <v>0.21</v>
      </c>
      <c r="AQ533" s="96">
        <f>IF(head!F$82="S235",235,IF(head!F$82="S275",275,IF(head!F$82="S355",355,IF(head!F$82="S420",420,460))))^0.5*head!$G$70*1000/(S533*3.1416*210000^0.5)</f>
        <v>2.5175949329899354</v>
      </c>
      <c r="AR533" s="96">
        <f t="shared" si="86"/>
        <v>3.9124895912722417</v>
      </c>
      <c r="AS533" s="96">
        <f t="shared" si="87"/>
        <v>0.14477296534817871</v>
      </c>
      <c r="AT533" s="50">
        <f>IF(head!F$82="S235",235,IF(head!F$82="S275",275,IF(head!F$82="S355",355,IF(head!F$82="S420",420,460))))*AS533*J533/1000</f>
        <v>295.67413400247142</v>
      </c>
      <c r="AU533" s="207" t="s">
        <v>47</v>
      </c>
      <c r="AV533" s="208" t="s">
        <v>47</v>
      </c>
      <c r="AW533" s="208" t="s">
        <v>47</v>
      </c>
      <c r="AX533" s="209" t="s">
        <v>47</v>
      </c>
      <c r="AY533" s="208" t="s">
        <v>47</v>
      </c>
      <c r="AZ533" s="197">
        <v>0</v>
      </c>
      <c r="BA533" s="97" t="str">
        <f t="shared" si="88"/>
        <v>HF CHS 159 x 14,2</v>
      </c>
    </row>
    <row r="534" spans="1:53">
      <c r="A534" s="82" t="s">
        <v>648</v>
      </c>
      <c r="B534" s="83">
        <f t="shared" si="83"/>
        <v>325.42544534010949</v>
      </c>
      <c r="C534" s="84">
        <v>159</v>
      </c>
      <c r="D534" s="84"/>
      <c r="E534" s="125" t="s">
        <v>830</v>
      </c>
      <c r="F534" s="84"/>
      <c r="G534" s="84"/>
      <c r="H534" s="85">
        <v>50.707994632250752</v>
      </c>
      <c r="I534" s="86">
        <v>51.676937204841529</v>
      </c>
      <c r="J534" s="86">
        <v>6459.6171506051915</v>
      </c>
      <c r="K534" s="86">
        <v>0.49951323192077712</v>
      </c>
      <c r="L534" s="87">
        <v>17092696.047959134</v>
      </c>
      <c r="M534" s="88">
        <v>215002.4660120646</v>
      </c>
      <c r="N534" s="88">
        <v>298686.39733333344</v>
      </c>
      <c r="O534" s="89">
        <v>51.440110808589822</v>
      </c>
      <c r="P534" s="88">
        <v>17092696.047959134</v>
      </c>
      <c r="Q534" s="88">
        <v>215002.4660120646</v>
      </c>
      <c r="R534" s="88">
        <v>298686.39733333344</v>
      </c>
      <c r="S534" s="86">
        <v>51.440110808589822</v>
      </c>
      <c r="T534" s="87">
        <v>34185392.095918268</v>
      </c>
      <c r="U534" s="119"/>
      <c r="V534" s="90">
        <v>1</v>
      </c>
      <c r="W534" s="91">
        <v>1</v>
      </c>
      <c r="X534" s="91">
        <v>1</v>
      </c>
      <c r="Y534" s="91">
        <v>1</v>
      </c>
      <c r="Z534" s="91">
        <v>1</v>
      </c>
      <c r="AA534" s="92">
        <v>1</v>
      </c>
      <c r="AB534" s="91">
        <v>1</v>
      </c>
      <c r="AC534" s="91">
        <v>1</v>
      </c>
      <c r="AD534" s="91">
        <v>1</v>
      </c>
      <c r="AE534" s="91">
        <v>1</v>
      </c>
      <c r="AF534" s="90">
        <v>1</v>
      </c>
      <c r="AG534" s="91">
        <v>1</v>
      </c>
      <c r="AH534" s="91">
        <v>1</v>
      </c>
      <c r="AI534" s="91">
        <v>1</v>
      </c>
      <c r="AJ534" s="91">
        <v>1</v>
      </c>
      <c r="AK534" s="210">
        <f t="shared" si="84"/>
        <v>77.328612559333877</v>
      </c>
      <c r="AL534" s="146"/>
      <c r="AM534" s="94"/>
      <c r="AN534" s="95"/>
      <c r="AO534" s="91" t="str">
        <f>IF(head!$F$82="S460","a0","a")</f>
        <v>a</v>
      </c>
      <c r="AP534" s="91">
        <f t="shared" si="85"/>
        <v>0.21</v>
      </c>
      <c r="AQ534" s="96">
        <f>IF(head!F$82="S235",235,IF(head!F$82="S275",275,IF(head!F$82="S355",355,IF(head!F$82="S420",420,460))))^0.5*head!$G$70*1000/(S534*3.1416*210000^0.5)</f>
        <v>2.5442029125576475</v>
      </c>
      <c r="AR534" s="96">
        <f t="shared" si="86"/>
        <v>3.9826255359519611</v>
      </c>
      <c r="AS534" s="96">
        <f t="shared" si="87"/>
        <v>0.14191110308114294</v>
      </c>
      <c r="AT534" s="50">
        <f>IF(head!F$82="S235",235,IF(head!F$82="S275",275,IF(head!F$82="S355",355,IF(head!F$82="S420",420,460))))*AS534*J534/1000</f>
        <v>325.42544534010949</v>
      </c>
      <c r="AU534" s="207" t="s">
        <v>47</v>
      </c>
      <c r="AV534" s="208" t="s">
        <v>47</v>
      </c>
      <c r="AW534" s="208" t="s">
        <v>47</v>
      </c>
      <c r="AX534" s="209" t="s">
        <v>47</v>
      </c>
      <c r="AY534" s="208" t="s">
        <v>47</v>
      </c>
      <c r="AZ534" s="197">
        <v>0</v>
      </c>
      <c r="BA534" s="97" t="str">
        <f t="shared" si="88"/>
        <v>HF CHS 159 x 16</v>
      </c>
    </row>
    <row r="535" spans="1:53">
      <c r="A535" s="82" t="s">
        <v>649</v>
      </c>
      <c r="B535" s="83">
        <f t="shared" si="83"/>
        <v>354.57574463677508</v>
      </c>
      <c r="C535" s="84">
        <v>159</v>
      </c>
      <c r="D535" s="84"/>
      <c r="E535" s="125" t="s">
        <v>831</v>
      </c>
      <c r="F535" s="84"/>
      <c r="G535" s="84"/>
      <c r="H535" s="85">
        <v>56.425517332595554</v>
      </c>
      <c r="I535" s="86">
        <v>57.503711931307571</v>
      </c>
      <c r="J535" s="86">
        <v>7187.9639914134468</v>
      </c>
      <c r="K535" s="86">
        <v>0.49951323192077712</v>
      </c>
      <c r="L535" s="87">
        <v>18603349.305276927</v>
      </c>
      <c r="M535" s="88">
        <v>234004.39377706824</v>
      </c>
      <c r="N535" s="88">
        <v>328549.33333333331</v>
      </c>
      <c r="O535" s="89">
        <v>50.873617917344937</v>
      </c>
      <c r="P535" s="88">
        <v>18603349.305276927</v>
      </c>
      <c r="Q535" s="88">
        <v>234004.39377706824</v>
      </c>
      <c r="R535" s="88">
        <v>328549.33333333331</v>
      </c>
      <c r="S535" s="86">
        <v>50.873617917344937</v>
      </c>
      <c r="T535" s="87">
        <v>37206698.610553853</v>
      </c>
      <c r="U535" s="119"/>
      <c r="V535" s="90">
        <v>1</v>
      </c>
      <c r="W535" s="91">
        <v>1</v>
      </c>
      <c r="X535" s="91">
        <v>1</v>
      </c>
      <c r="Y535" s="91">
        <v>1</v>
      </c>
      <c r="Z535" s="91">
        <v>1</v>
      </c>
      <c r="AA535" s="92">
        <v>1</v>
      </c>
      <c r="AB535" s="91">
        <v>1</v>
      </c>
      <c r="AC535" s="91">
        <v>1</v>
      </c>
      <c r="AD535" s="91">
        <v>1</v>
      </c>
      <c r="AE535" s="91">
        <v>1</v>
      </c>
      <c r="AF535" s="90">
        <v>1</v>
      </c>
      <c r="AG535" s="91">
        <v>1</v>
      </c>
      <c r="AH535" s="91">
        <v>1</v>
      </c>
      <c r="AI535" s="91">
        <v>1</v>
      </c>
      <c r="AJ535" s="91">
        <v>1</v>
      </c>
      <c r="AK535" s="210">
        <f t="shared" si="84"/>
        <v>69.493006993007</v>
      </c>
      <c r="AL535" s="146"/>
      <c r="AM535" s="94"/>
      <c r="AN535" s="95"/>
      <c r="AO535" s="91" t="str">
        <f>IF(head!$F$82="S460","a0","a")</f>
        <v>a</v>
      </c>
      <c r="AP535" s="91">
        <f t="shared" si="85"/>
        <v>0.21</v>
      </c>
      <c r="AQ535" s="96">
        <f>IF(head!F$82="S235",235,IF(head!F$82="S275",275,IF(head!F$82="S355",355,IF(head!F$82="S420",420,460))))^0.5*head!$G$70*1000/(S535*3.1416*210000^0.5)</f>
        <v>2.5725333699312536</v>
      </c>
      <c r="AR535" s="96">
        <f t="shared" si="86"/>
        <v>4.0580799735477076</v>
      </c>
      <c r="AS535" s="96">
        <f t="shared" si="87"/>
        <v>0.13895519171533624</v>
      </c>
      <c r="AT535" s="50">
        <f>IF(head!F$82="S235",235,IF(head!F$82="S275",275,IF(head!F$82="S355",355,IF(head!F$82="S420",420,460))))*AS535*J535/1000</f>
        <v>354.57574463677508</v>
      </c>
      <c r="AU535" s="207" t="s">
        <v>47</v>
      </c>
      <c r="AV535" s="208" t="s">
        <v>47</v>
      </c>
      <c r="AW535" s="208" t="s">
        <v>47</v>
      </c>
      <c r="AX535" s="209" t="s">
        <v>47</v>
      </c>
      <c r="AY535" s="208" t="s">
        <v>47</v>
      </c>
      <c r="AZ535" s="197">
        <v>0</v>
      </c>
      <c r="BA535" s="97" t="str">
        <f t="shared" si="88"/>
        <v>HF CHS 159 x 17,5</v>
      </c>
    </row>
    <row r="536" spans="1:53">
      <c r="A536" s="82" t="s">
        <v>650</v>
      </c>
      <c r="B536" s="83">
        <f t="shared" si="83"/>
        <v>377.1086521227395</v>
      </c>
      <c r="C536" s="84">
        <v>159</v>
      </c>
      <c r="D536" s="84"/>
      <c r="E536" s="125" t="s">
        <v>832</v>
      </c>
      <c r="F536" s="84"/>
      <c r="G536" s="84"/>
      <c r="H536" s="85">
        <v>61.068045146346037</v>
      </c>
      <c r="I536" s="86">
        <v>62.234950467613793</v>
      </c>
      <c r="J536" s="86">
        <v>7779.3688084517253</v>
      </c>
      <c r="K536" s="86">
        <v>0.49951323192077712</v>
      </c>
      <c r="L536" s="87">
        <v>19767862.352826361</v>
      </c>
      <c r="M536" s="88">
        <v>248652.35663932527</v>
      </c>
      <c r="N536" s="88">
        <v>352175.83333333337</v>
      </c>
      <c r="O536" s="89">
        <v>50.408952577890368</v>
      </c>
      <c r="P536" s="88">
        <v>19767862.352826361</v>
      </c>
      <c r="Q536" s="88">
        <v>248652.35663932527</v>
      </c>
      <c r="R536" s="88">
        <v>352175.83333333337</v>
      </c>
      <c r="S536" s="86">
        <v>50.408952577890368</v>
      </c>
      <c r="T536" s="87">
        <v>39535724.705652721</v>
      </c>
      <c r="U536" s="119"/>
      <c r="V536" s="90">
        <v>1</v>
      </c>
      <c r="W536" s="91">
        <v>1</v>
      </c>
      <c r="X536" s="91">
        <v>1</v>
      </c>
      <c r="Y536" s="91">
        <v>1</v>
      </c>
      <c r="Z536" s="91">
        <v>1</v>
      </c>
      <c r="AA536" s="92">
        <v>1</v>
      </c>
      <c r="AB536" s="91">
        <v>1</v>
      </c>
      <c r="AC536" s="91">
        <v>1</v>
      </c>
      <c r="AD536" s="91">
        <v>1</v>
      </c>
      <c r="AE536" s="91">
        <v>1</v>
      </c>
      <c r="AF536" s="90">
        <v>1</v>
      </c>
      <c r="AG536" s="91">
        <v>1</v>
      </c>
      <c r="AH536" s="91">
        <v>1</v>
      </c>
      <c r="AI536" s="91">
        <v>1</v>
      </c>
      <c r="AJ536" s="91">
        <v>1</v>
      </c>
      <c r="AK536" s="210">
        <f t="shared" si="84"/>
        <v>64.209994952044426</v>
      </c>
      <c r="AL536" s="146"/>
      <c r="AM536" s="94"/>
      <c r="AN536" s="95"/>
      <c r="AO536" s="91" t="str">
        <f>IF(head!$F$82="S460","a0","a")</f>
        <v>a</v>
      </c>
      <c r="AP536" s="91">
        <f t="shared" si="85"/>
        <v>0.21</v>
      </c>
      <c r="AQ536" s="96">
        <f>IF(head!F$82="S235",235,IF(head!F$82="S275",275,IF(head!F$82="S355",355,IF(head!F$82="S420",420,460))))^0.5*head!$G$70*1000/(S536*3.1416*210000^0.5)</f>
        <v>2.5962467587335749</v>
      </c>
      <c r="AR536" s="96">
        <f t="shared" si="86"/>
        <v>4.1218545257843218</v>
      </c>
      <c r="AS536" s="96">
        <f t="shared" si="87"/>
        <v>0.1365506533318491</v>
      </c>
      <c r="AT536" s="50">
        <f>IF(head!F$82="S235",235,IF(head!F$82="S275",275,IF(head!F$82="S355",355,IF(head!F$82="S420",420,460))))*AS536*J536/1000</f>
        <v>377.1086521227395</v>
      </c>
      <c r="AU536" s="207" t="s">
        <v>47</v>
      </c>
      <c r="AV536" s="208" t="s">
        <v>47</v>
      </c>
      <c r="AW536" s="208" t="s">
        <v>47</v>
      </c>
      <c r="AX536" s="209" t="s">
        <v>47</v>
      </c>
      <c r="AY536" s="208" t="s">
        <v>47</v>
      </c>
      <c r="AZ536" s="197">
        <v>0</v>
      </c>
      <c r="BA536" s="97" t="str">
        <f t="shared" si="88"/>
        <v>HF CHS 159 x 20</v>
      </c>
    </row>
    <row r="537" spans="1:53">
      <c r="A537" s="82" t="s">
        <v>651</v>
      </c>
      <c r="B537" s="83">
        <f t="shared" si="83"/>
        <v>411.31184405432731</v>
      </c>
      <c r="C537" s="84">
        <v>159</v>
      </c>
      <c r="D537" s="84"/>
      <c r="E537" s="125" t="s">
        <v>833</v>
      </c>
      <c r="F537" s="84"/>
      <c r="G537" s="84"/>
      <c r="H537" s="85">
        <v>68.558976479290052</v>
      </c>
      <c r="I537" s="86">
        <v>69.869020615837002</v>
      </c>
      <c r="J537" s="86">
        <v>8733.6275769796248</v>
      </c>
      <c r="K537" s="86">
        <v>0.49951323192077712</v>
      </c>
      <c r="L537" s="87">
        <v>21529483.680701897</v>
      </c>
      <c r="M537" s="88">
        <v>270811.11548052699</v>
      </c>
      <c r="N537" s="88">
        <v>389086.66666666663</v>
      </c>
      <c r="O537" s="89">
        <v>49.650025176227253</v>
      </c>
      <c r="P537" s="88">
        <v>21529483.680701897</v>
      </c>
      <c r="Q537" s="88">
        <v>270811.11548052699</v>
      </c>
      <c r="R537" s="88">
        <v>389086.66666666663</v>
      </c>
      <c r="S537" s="86">
        <v>49.650025176227253</v>
      </c>
      <c r="T537" s="87">
        <v>43058967.361403793</v>
      </c>
      <c r="U537" s="119"/>
      <c r="V537" s="90">
        <v>1</v>
      </c>
      <c r="W537" s="91">
        <v>1</v>
      </c>
      <c r="X537" s="91">
        <v>1</v>
      </c>
      <c r="Y537" s="91">
        <v>1</v>
      </c>
      <c r="Z537" s="91">
        <v>1</v>
      </c>
      <c r="AA537" s="92">
        <v>1</v>
      </c>
      <c r="AB537" s="91">
        <v>1</v>
      </c>
      <c r="AC537" s="91">
        <v>1</v>
      </c>
      <c r="AD537" s="91">
        <v>1</v>
      </c>
      <c r="AE537" s="91">
        <v>1</v>
      </c>
      <c r="AF537" s="90">
        <v>1</v>
      </c>
      <c r="AG537" s="91">
        <v>1</v>
      </c>
      <c r="AH537" s="91">
        <v>1</v>
      </c>
      <c r="AI537" s="91">
        <v>1</v>
      </c>
      <c r="AJ537" s="91">
        <v>1</v>
      </c>
      <c r="AK537" s="210">
        <f t="shared" si="84"/>
        <v>57.194244604316545</v>
      </c>
      <c r="AL537" s="146"/>
      <c r="AM537" s="94"/>
      <c r="AN537" s="95"/>
      <c r="AO537" s="91" t="str">
        <f>IF(head!$F$82="S460","a0","a")</f>
        <v>a</v>
      </c>
      <c r="AP537" s="91">
        <f t="shared" si="85"/>
        <v>0.21</v>
      </c>
      <c r="AQ537" s="96">
        <f>IF(head!F$82="S235",235,IF(head!F$82="S275",275,IF(head!F$82="S355",355,IF(head!F$82="S420",420,460))))^0.5*head!$G$70*1000/(S537*3.1416*210000^0.5)</f>
        <v>2.6359317901044226</v>
      </c>
      <c r="AR537" s="96">
        <f t="shared" si="86"/>
        <v>4.2298410390025172</v>
      </c>
      <c r="AS537" s="96">
        <f t="shared" si="87"/>
        <v>0.13266250508357277</v>
      </c>
      <c r="AT537" s="50">
        <f>IF(head!F$82="S235",235,IF(head!F$82="S275",275,IF(head!F$82="S355",355,IF(head!F$82="S420",420,460))))*AS537*J537/1000</f>
        <v>411.31184405432731</v>
      </c>
      <c r="AU537" s="207" t="s">
        <v>47</v>
      </c>
      <c r="AV537" s="208" t="s">
        <v>47</v>
      </c>
      <c r="AW537" s="208" t="s">
        <v>47</v>
      </c>
      <c r="AX537" s="209" t="s">
        <v>47</v>
      </c>
      <c r="AY537" s="208" t="s">
        <v>47</v>
      </c>
      <c r="AZ537" s="197">
        <v>0</v>
      </c>
      <c r="BA537" s="97" t="str">
        <f t="shared" si="88"/>
        <v>HF CHS 168,3 x 5,6</v>
      </c>
    </row>
    <row r="538" spans="1:53">
      <c r="A538" s="82" t="s">
        <v>652</v>
      </c>
      <c r="B538" s="83">
        <f t="shared" si="83"/>
        <v>178.32038439406423</v>
      </c>
      <c r="C538" s="84">
        <v>168.3</v>
      </c>
      <c r="D538" s="84"/>
      <c r="E538" s="125" t="s">
        <v>823</v>
      </c>
      <c r="F538" s="84"/>
      <c r="G538" s="84"/>
      <c r="H538" s="85">
        <v>22.469588003529022</v>
      </c>
      <c r="I538" s="86">
        <v>22.898943188309833</v>
      </c>
      <c r="J538" s="86">
        <v>2862.3678985387292</v>
      </c>
      <c r="K538" s="86">
        <v>0.5287300435991622</v>
      </c>
      <c r="L538" s="87">
        <v>9482541.823275933</v>
      </c>
      <c r="M538" s="88">
        <v>112686.17734136581</v>
      </c>
      <c r="N538" s="88">
        <v>148297.7626666665</v>
      </c>
      <c r="O538" s="89">
        <v>57.557199810275698</v>
      </c>
      <c r="P538" s="88">
        <v>9482541.823275933</v>
      </c>
      <c r="Q538" s="88">
        <v>112686.17734136581</v>
      </c>
      <c r="R538" s="88">
        <v>148297.7626666665</v>
      </c>
      <c r="S538" s="86">
        <v>57.557199810275698</v>
      </c>
      <c r="T538" s="87">
        <v>18965083.646551866</v>
      </c>
      <c r="U538" s="119"/>
      <c r="V538" s="90">
        <v>1</v>
      </c>
      <c r="W538" s="91">
        <v>1</v>
      </c>
      <c r="X538" s="91">
        <v>1</v>
      </c>
      <c r="Y538" s="91">
        <v>2</v>
      </c>
      <c r="Z538" s="91">
        <v>2</v>
      </c>
      <c r="AA538" s="92">
        <v>1</v>
      </c>
      <c r="AB538" s="91">
        <v>1</v>
      </c>
      <c r="AC538" s="91">
        <v>2</v>
      </c>
      <c r="AD538" s="91">
        <v>3</v>
      </c>
      <c r="AE538" s="91">
        <v>3</v>
      </c>
      <c r="AF538" s="90">
        <v>1</v>
      </c>
      <c r="AG538" s="91">
        <v>1</v>
      </c>
      <c r="AH538" s="91">
        <v>2</v>
      </c>
      <c r="AI538" s="91">
        <v>3</v>
      </c>
      <c r="AJ538" s="91">
        <v>3</v>
      </c>
      <c r="AK538" s="210">
        <f t="shared" si="84"/>
        <v>184.71771007112147</v>
      </c>
      <c r="AL538" s="146"/>
      <c r="AM538" s="94"/>
      <c r="AN538" s="95"/>
      <c r="AO538" s="91" t="str">
        <f>IF(head!$F$82="S460","a0","a")</f>
        <v>a</v>
      </c>
      <c r="AP538" s="91">
        <f t="shared" si="85"/>
        <v>0.21</v>
      </c>
      <c r="AQ538" s="96">
        <f>IF(head!F$82="S235",235,IF(head!F$82="S275",275,IF(head!F$82="S355",355,IF(head!F$82="S420",420,460))))^0.5*head!$G$70*1000/(S538*3.1416*210000^0.5)</f>
        <v>2.2738090138661922</v>
      </c>
      <c r="AR538" s="96">
        <f t="shared" si="86"/>
        <v>3.3028536622255227</v>
      </c>
      <c r="AS538" s="96">
        <f t="shared" si="87"/>
        <v>0.17548790363794459</v>
      </c>
      <c r="AT538" s="50">
        <f>IF(head!F$82="S235",235,IF(head!F$82="S275",275,IF(head!F$82="S355",355,IF(head!F$82="S420",420,460))))*AS538*J538/1000</f>
        <v>178.32038439406423</v>
      </c>
      <c r="AU538" s="207" t="s">
        <v>47</v>
      </c>
      <c r="AV538" s="208" t="s">
        <v>47</v>
      </c>
      <c r="AW538" s="208" t="s">
        <v>47</v>
      </c>
      <c r="AX538" s="209" t="s">
        <v>47</v>
      </c>
      <c r="AY538" s="208" t="s">
        <v>47</v>
      </c>
      <c r="AZ538" s="197">
        <v>0</v>
      </c>
      <c r="BA538" s="97" t="str">
        <f t="shared" si="88"/>
        <v>HF CHS 168,3 x 6,3</v>
      </c>
    </row>
    <row r="539" spans="1:53">
      <c r="A539" s="82" t="s">
        <v>653</v>
      </c>
      <c r="B539" s="83">
        <f t="shared" ref="B539:B602" si="89">AT539</f>
        <v>198.19599765918295</v>
      </c>
      <c r="C539" s="84">
        <v>168.3</v>
      </c>
      <c r="D539" s="84"/>
      <c r="E539" s="125">
        <v>6.3</v>
      </c>
      <c r="F539" s="84"/>
      <c r="G539" s="84"/>
      <c r="H539" s="85">
        <v>25.169529278691865</v>
      </c>
      <c r="I539" s="86">
        <v>25.650475698029926</v>
      </c>
      <c r="J539" s="86">
        <v>3206.309462253741</v>
      </c>
      <c r="K539" s="86">
        <v>0.5287300435991622</v>
      </c>
      <c r="L539" s="87">
        <v>10534205.493743008</v>
      </c>
      <c r="M539" s="88">
        <v>125183.66599813438</v>
      </c>
      <c r="N539" s="88">
        <v>165420.54899999988</v>
      </c>
      <c r="O539" s="89">
        <v>57.318943203796081</v>
      </c>
      <c r="P539" s="88">
        <v>10534205.493743008</v>
      </c>
      <c r="Q539" s="88">
        <v>125183.66599813438</v>
      </c>
      <c r="R539" s="88">
        <v>165420.54899999988</v>
      </c>
      <c r="S539" s="86">
        <v>57.318943203796081</v>
      </c>
      <c r="T539" s="87">
        <v>21068410.987486016</v>
      </c>
      <c r="U539" s="119"/>
      <c r="V539" s="90">
        <v>1</v>
      </c>
      <c r="W539" s="91">
        <v>1</v>
      </c>
      <c r="X539" s="91">
        <v>1</v>
      </c>
      <c r="Y539" s="91">
        <v>1</v>
      </c>
      <c r="Z539" s="91">
        <v>2</v>
      </c>
      <c r="AA539" s="92">
        <v>1</v>
      </c>
      <c r="AB539" s="91">
        <v>1</v>
      </c>
      <c r="AC539" s="91">
        <v>2</v>
      </c>
      <c r="AD539" s="91">
        <v>2</v>
      </c>
      <c r="AE539" s="91">
        <v>3</v>
      </c>
      <c r="AF539" s="90">
        <v>1</v>
      </c>
      <c r="AG539" s="91">
        <v>1</v>
      </c>
      <c r="AH539" s="91">
        <v>2</v>
      </c>
      <c r="AI539" s="91">
        <v>2</v>
      </c>
      <c r="AJ539" s="91">
        <v>3</v>
      </c>
      <c r="AK539" s="210">
        <f t="shared" si="84"/>
        <v>164.90299823633168</v>
      </c>
      <c r="AL539" s="146"/>
      <c r="AM539" s="94"/>
      <c r="AN539" s="95"/>
      <c r="AO539" s="91" t="str">
        <f>IF(head!$F$82="S460","a0","a")</f>
        <v>a</v>
      </c>
      <c r="AP539" s="91">
        <f t="shared" si="85"/>
        <v>0.21</v>
      </c>
      <c r="AQ539" s="96">
        <f>IF(head!F$82="S235",235,IF(head!F$82="S275",275,IF(head!F$82="S355",355,IF(head!F$82="S420",420,460))))^0.5*head!$G$70*1000/(S539*3.1416*210000^0.5)</f>
        <v>2.2832605143500779</v>
      </c>
      <c r="AR539" s="96">
        <f t="shared" si="86"/>
        <v>3.3253816422018492</v>
      </c>
      <c r="AS539" s="96">
        <f t="shared" si="87"/>
        <v>0.17412498435600546</v>
      </c>
      <c r="AT539" s="50">
        <f>IF(head!F$82="S235",235,IF(head!F$82="S275",275,IF(head!F$82="S355",355,IF(head!F$82="S420",420,460))))*AS539*J539/1000</f>
        <v>198.19599765918295</v>
      </c>
      <c r="AU539" s="207" t="s">
        <v>47</v>
      </c>
      <c r="AV539" s="208" t="s">
        <v>47</v>
      </c>
      <c r="AW539" s="208" t="s">
        <v>47</v>
      </c>
      <c r="AX539" s="209" t="s">
        <v>47</v>
      </c>
      <c r="AY539" s="208" t="s">
        <v>47</v>
      </c>
      <c r="AZ539" s="197">
        <v>0</v>
      </c>
      <c r="BA539" s="97" t="str">
        <f t="shared" si="88"/>
        <v>HF CHS 168,3 x 7,1</v>
      </c>
    </row>
    <row r="540" spans="1:53">
      <c r="A540" s="82" t="s">
        <v>654</v>
      </c>
      <c r="B540" s="83">
        <f t="shared" si="89"/>
        <v>220.28953360158047</v>
      </c>
      <c r="C540" s="84">
        <v>168.3</v>
      </c>
      <c r="D540" s="84"/>
      <c r="E540" s="125" t="s">
        <v>825</v>
      </c>
      <c r="F540" s="84"/>
      <c r="G540" s="84"/>
      <c r="H540" s="85">
        <v>28.225582647509697</v>
      </c>
      <c r="I540" s="86">
        <v>28.764924991092684</v>
      </c>
      <c r="J540" s="86">
        <v>3595.6156238865856</v>
      </c>
      <c r="K540" s="86">
        <v>0.5287300435991622</v>
      </c>
      <c r="L540" s="87">
        <v>11701863.630145952</v>
      </c>
      <c r="M540" s="88">
        <v>139059.57968087879</v>
      </c>
      <c r="N540" s="88">
        <v>184615.92766666645</v>
      </c>
      <c r="O540" s="89">
        <v>57.048060878525945</v>
      </c>
      <c r="P540" s="88">
        <v>11701863.630145952</v>
      </c>
      <c r="Q540" s="88">
        <v>139059.57968087879</v>
      </c>
      <c r="R540" s="88">
        <v>184615.92766666645</v>
      </c>
      <c r="S540" s="86">
        <v>57.048060878525945</v>
      </c>
      <c r="T540" s="87">
        <v>23403727.260291904</v>
      </c>
      <c r="U540" s="119"/>
      <c r="V540" s="90">
        <v>1</v>
      </c>
      <c r="W540" s="91">
        <v>1</v>
      </c>
      <c r="X540" s="91">
        <v>1</v>
      </c>
      <c r="Y540" s="91">
        <v>1</v>
      </c>
      <c r="Z540" s="91">
        <v>1</v>
      </c>
      <c r="AA540" s="92">
        <v>1</v>
      </c>
      <c r="AB540" s="91">
        <v>1</v>
      </c>
      <c r="AC540" s="91">
        <v>1</v>
      </c>
      <c r="AD540" s="91">
        <v>2</v>
      </c>
      <c r="AE540" s="91">
        <v>2</v>
      </c>
      <c r="AF540" s="90">
        <v>1</v>
      </c>
      <c r="AG540" s="91">
        <v>1</v>
      </c>
      <c r="AH540" s="91">
        <v>1</v>
      </c>
      <c r="AI540" s="91">
        <v>2</v>
      </c>
      <c r="AJ540" s="91">
        <v>2</v>
      </c>
      <c r="AK540" s="210">
        <f t="shared" si="84"/>
        <v>147.04854436794483</v>
      </c>
      <c r="AL540" s="146"/>
      <c r="AM540" s="94"/>
      <c r="AN540" s="95"/>
      <c r="AO540" s="91" t="str">
        <f>IF(head!$F$82="S460","a0","a")</f>
        <v>a</v>
      </c>
      <c r="AP540" s="91">
        <f t="shared" si="85"/>
        <v>0.21</v>
      </c>
      <c r="AQ540" s="96">
        <f>IF(head!F$82="S235",235,IF(head!F$82="S275",275,IF(head!F$82="S355",355,IF(head!F$82="S420",420,460))))^0.5*head!$G$70*1000/(S540*3.1416*210000^0.5)</f>
        <v>2.2941021609862644</v>
      </c>
      <c r="AR540" s="96">
        <f t="shared" si="86"/>
        <v>3.3513330894244819</v>
      </c>
      <c r="AS540" s="96">
        <f t="shared" si="87"/>
        <v>0.17258071005890532</v>
      </c>
      <c r="AT540" s="50">
        <f>IF(head!F$82="S235",235,IF(head!F$82="S275",275,IF(head!F$82="S355",355,IF(head!F$82="S420",420,460))))*AS540*J540/1000</f>
        <v>220.28953360158047</v>
      </c>
      <c r="AU540" s="207" t="s">
        <v>47</v>
      </c>
      <c r="AV540" s="208" t="s">
        <v>47</v>
      </c>
      <c r="AW540" s="208" t="s">
        <v>47</v>
      </c>
      <c r="AX540" s="209" t="s">
        <v>47</v>
      </c>
      <c r="AY540" s="208" t="s">
        <v>47</v>
      </c>
      <c r="AZ540" s="197">
        <v>0</v>
      </c>
      <c r="BA540" s="97" t="str">
        <f t="shared" si="88"/>
        <v>HF CHS 168,3 x 8</v>
      </c>
    </row>
    <row r="541" spans="1:53">
      <c r="A541" s="82" t="s">
        <v>655</v>
      </c>
      <c r="B541" s="83">
        <f t="shared" si="89"/>
        <v>244.36745390498101</v>
      </c>
      <c r="C541" s="84">
        <v>168.3</v>
      </c>
      <c r="D541" s="84"/>
      <c r="E541" s="125" t="s">
        <v>826</v>
      </c>
      <c r="F541" s="84"/>
      <c r="G541" s="84"/>
      <c r="H541" s="85">
        <v>31.625910588863864</v>
      </c>
      <c r="I541" s="86">
        <v>32.230227351708393</v>
      </c>
      <c r="J541" s="86">
        <v>4028.7784189635495</v>
      </c>
      <c r="K541" s="86">
        <v>0.5287300435991622</v>
      </c>
      <c r="L541" s="87">
        <v>12972711.832819851</v>
      </c>
      <c r="M541" s="88">
        <v>154161.7567774195</v>
      </c>
      <c r="N541" s="88">
        <v>205739.38666666663</v>
      </c>
      <c r="O541" s="89">
        <v>56.74514296395774</v>
      </c>
      <c r="P541" s="88">
        <v>12972711.832819851</v>
      </c>
      <c r="Q541" s="88">
        <v>154161.7567774195</v>
      </c>
      <c r="R541" s="88">
        <v>205739.38666666663</v>
      </c>
      <c r="S541" s="86">
        <v>56.74514296395774</v>
      </c>
      <c r="T541" s="87">
        <v>25945423.665639702</v>
      </c>
      <c r="U541" s="119"/>
      <c r="V541" s="90">
        <v>1</v>
      </c>
      <c r="W541" s="91">
        <v>1</v>
      </c>
      <c r="X541" s="91">
        <v>1</v>
      </c>
      <c r="Y541" s="91">
        <v>1</v>
      </c>
      <c r="Z541" s="91">
        <v>1</v>
      </c>
      <c r="AA541" s="92">
        <v>1</v>
      </c>
      <c r="AB541" s="91">
        <v>1</v>
      </c>
      <c r="AC541" s="91">
        <v>1</v>
      </c>
      <c r="AD541" s="91">
        <v>2</v>
      </c>
      <c r="AE541" s="91">
        <v>2</v>
      </c>
      <c r="AF541" s="90">
        <v>1</v>
      </c>
      <c r="AG541" s="91">
        <v>1</v>
      </c>
      <c r="AH541" s="91">
        <v>1</v>
      </c>
      <c r="AI541" s="91">
        <v>2</v>
      </c>
      <c r="AJ541" s="91">
        <v>2</v>
      </c>
      <c r="AK541" s="210">
        <f t="shared" si="84"/>
        <v>131.23830318153466</v>
      </c>
      <c r="AL541" s="146"/>
      <c r="AM541" s="94"/>
      <c r="AN541" s="95"/>
      <c r="AO541" s="91" t="str">
        <f>IF(head!$F$82="S460","a0","a")</f>
        <v>a</v>
      </c>
      <c r="AP541" s="91">
        <f t="shared" si="85"/>
        <v>0.21</v>
      </c>
      <c r="AQ541" s="96">
        <f>IF(head!F$82="S235",235,IF(head!F$82="S275",275,IF(head!F$82="S355",355,IF(head!F$82="S420",420,460))))^0.5*head!$G$70*1000/(S541*3.1416*210000^0.5)</f>
        <v>2.3063485772628747</v>
      </c>
      <c r="AR541" s="96">
        <f t="shared" si="86"/>
        <v>3.3807884805338446</v>
      </c>
      <c r="AS541" s="96">
        <f t="shared" si="87"/>
        <v>0.1708604826327336</v>
      </c>
      <c r="AT541" s="50">
        <f>IF(head!F$82="S235",235,IF(head!F$82="S275",275,IF(head!F$82="S355",355,IF(head!F$82="S420",420,460))))*AS541*J541/1000</f>
        <v>244.36745390498101</v>
      </c>
      <c r="AU541" s="207" t="s">
        <v>47</v>
      </c>
      <c r="AV541" s="208" t="s">
        <v>47</v>
      </c>
      <c r="AW541" s="208" t="s">
        <v>47</v>
      </c>
      <c r="AX541" s="209" t="s">
        <v>47</v>
      </c>
      <c r="AY541" s="208" t="s">
        <v>47</v>
      </c>
      <c r="AZ541" s="197">
        <v>0</v>
      </c>
      <c r="BA541" s="97" t="str">
        <f t="shared" si="88"/>
        <v>HF CHS 168,3 x 8,8</v>
      </c>
    </row>
    <row r="542" spans="1:53">
      <c r="A542" s="82" t="s">
        <v>656</v>
      </c>
      <c r="B542" s="83">
        <f t="shared" si="89"/>
        <v>265.09293272721715</v>
      </c>
      <c r="C542" s="84">
        <v>168.3</v>
      </c>
      <c r="D542" s="84"/>
      <c r="E542" s="125" t="s">
        <v>827</v>
      </c>
      <c r="F542" s="84"/>
      <c r="G542" s="84"/>
      <c r="H542" s="85">
        <v>34.61488467134226</v>
      </c>
      <c r="I542" s="86">
        <v>35.276315588629053</v>
      </c>
      <c r="J542" s="86">
        <v>4409.5394485786319</v>
      </c>
      <c r="K542" s="86">
        <v>0.5287300435991622</v>
      </c>
      <c r="L542" s="87">
        <v>14065157.586450065</v>
      </c>
      <c r="M542" s="88">
        <v>167143.8810035658</v>
      </c>
      <c r="N542" s="88">
        <v>224101.35733333323</v>
      </c>
      <c r="O542" s="89">
        <v>56.477528717180974</v>
      </c>
      <c r="P542" s="88">
        <v>14065157.586450065</v>
      </c>
      <c r="Q542" s="88">
        <v>167143.8810035658</v>
      </c>
      <c r="R542" s="88">
        <v>224101.35733333323</v>
      </c>
      <c r="S542" s="86">
        <v>56.477528717180974</v>
      </c>
      <c r="T542" s="87">
        <v>28130315.172900129</v>
      </c>
      <c r="U542" s="119"/>
      <c r="V542" s="90">
        <v>1</v>
      </c>
      <c r="W542" s="91">
        <v>1</v>
      </c>
      <c r="X542" s="91">
        <v>1</v>
      </c>
      <c r="Y542" s="91">
        <v>1</v>
      </c>
      <c r="Z542" s="91">
        <v>1</v>
      </c>
      <c r="AA542" s="92">
        <v>1</v>
      </c>
      <c r="AB542" s="91">
        <v>1</v>
      </c>
      <c r="AC542" s="91">
        <v>1</v>
      </c>
      <c r="AD542" s="91">
        <v>1</v>
      </c>
      <c r="AE542" s="91">
        <v>2</v>
      </c>
      <c r="AF542" s="90">
        <v>1</v>
      </c>
      <c r="AG542" s="91">
        <v>1</v>
      </c>
      <c r="AH542" s="91">
        <v>1</v>
      </c>
      <c r="AI542" s="91">
        <v>1</v>
      </c>
      <c r="AJ542" s="91">
        <v>2</v>
      </c>
      <c r="AK542" s="210">
        <f t="shared" si="84"/>
        <v>119.90595611285272</v>
      </c>
      <c r="AL542" s="146"/>
      <c r="AM542" s="94"/>
      <c r="AN542" s="95"/>
      <c r="AO542" s="91" t="str">
        <f>IF(head!$F$82="S460","a0","a")</f>
        <v>a</v>
      </c>
      <c r="AP542" s="91">
        <f t="shared" si="85"/>
        <v>0.21</v>
      </c>
      <c r="AQ542" s="96">
        <f>IF(head!F$82="S235",235,IF(head!F$82="S275",275,IF(head!F$82="S355",355,IF(head!F$82="S420",420,460))))^0.5*head!$G$70*1000/(S542*3.1416*210000^0.5)</f>
        <v>2.3172770252904016</v>
      </c>
      <c r="AR542" s="96">
        <f t="shared" si="86"/>
        <v>3.4072004936248583</v>
      </c>
      <c r="AS542" s="96">
        <f t="shared" si="87"/>
        <v>0.16934663229066466</v>
      </c>
      <c r="AT542" s="50">
        <f>IF(head!F$82="S235",235,IF(head!F$82="S275",275,IF(head!F$82="S355",355,IF(head!F$82="S420",420,460))))*AS542*J542/1000</f>
        <v>265.09293272721715</v>
      </c>
      <c r="AU542" s="207" t="s">
        <v>47</v>
      </c>
      <c r="AV542" s="208" t="s">
        <v>47</v>
      </c>
      <c r="AW542" s="208" t="s">
        <v>47</v>
      </c>
      <c r="AX542" s="209" t="s">
        <v>47</v>
      </c>
      <c r="AY542" s="208" t="s">
        <v>47</v>
      </c>
      <c r="AZ542" s="197">
        <v>0</v>
      </c>
      <c r="BA542" s="97" t="str">
        <f t="shared" si="88"/>
        <v>HF CHS 168,3 x 10</v>
      </c>
    </row>
    <row r="543" spans="1:53">
      <c r="A543" s="82" t="s">
        <v>657</v>
      </c>
      <c r="B543" s="83">
        <f t="shared" si="89"/>
        <v>295.01428440199794</v>
      </c>
      <c r="C543" s="84">
        <v>168.3</v>
      </c>
      <c r="D543" s="84"/>
      <c r="E543" s="125" t="s">
        <v>828</v>
      </c>
      <c r="F543" s="84"/>
      <c r="G543" s="84"/>
      <c r="H543" s="85">
        <v>39.039158189466242</v>
      </c>
      <c r="I543" s="86">
        <v>39.785129365061138</v>
      </c>
      <c r="J543" s="86">
        <v>4973.1411706326426</v>
      </c>
      <c r="K543" s="86">
        <v>0.5287300435991622</v>
      </c>
      <c r="L543" s="87">
        <v>15639838.958302241</v>
      </c>
      <c r="M543" s="88">
        <v>185856.67211292026</v>
      </c>
      <c r="N543" s="88">
        <v>250922.23333333331</v>
      </c>
      <c r="O543" s="89">
        <v>56.079062492163693</v>
      </c>
      <c r="P543" s="88">
        <v>15639838.958302241</v>
      </c>
      <c r="Q543" s="88">
        <v>185856.67211292026</v>
      </c>
      <c r="R543" s="88">
        <v>250922.23333333331</v>
      </c>
      <c r="S543" s="86">
        <v>56.079062492163693</v>
      </c>
      <c r="T543" s="87">
        <v>31279677.916604482</v>
      </c>
      <c r="U543" s="119"/>
      <c r="V543" s="90">
        <v>1</v>
      </c>
      <c r="W543" s="91">
        <v>1</v>
      </c>
      <c r="X543" s="91">
        <v>1</v>
      </c>
      <c r="Y543" s="91">
        <v>1</v>
      </c>
      <c r="Z543" s="91">
        <v>1</v>
      </c>
      <c r="AA543" s="92">
        <v>1</v>
      </c>
      <c r="AB543" s="91">
        <v>1</v>
      </c>
      <c r="AC543" s="91">
        <v>1</v>
      </c>
      <c r="AD543" s="91">
        <v>1</v>
      </c>
      <c r="AE543" s="91">
        <v>1</v>
      </c>
      <c r="AF543" s="90">
        <v>1</v>
      </c>
      <c r="AG543" s="91">
        <v>1</v>
      </c>
      <c r="AH543" s="91">
        <v>1</v>
      </c>
      <c r="AI543" s="91">
        <v>1</v>
      </c>
      <c r="AJ543" s="91">
        <v>1</v>
      </c>
      <c r="AK543" s="210">
        <f t="shared" si="84"/>
        <v>106.31711939355654</v>
      </c>
      <c r="AL543" s="146"/>
      <c r="AM543" s="94"/>
      <c r="AN543" s="95"/>
      <c r="AO543" s="91" t="str">
        <f>IF(head!$F$82="S460","a0","a")</f>
        <v>a</v>
      </c>
      <c r="AP543" s="91">
        <f t="shared" si="85"/>
        <v>0.21</v>
      </c>
      <c r="AQ543" s="96">
        <f>IF(head!F$82="S235",235,IF(head!F$82="S275",275,IF(head!F$82="S355",355,IF(head!F$82="S420",420,460))))^0.5*head!$G$70*1000/(S543*3.1416*210000^0.5)</f>
        <v>2.33374229035641</v>
      </c>
      <c r="AR543" s="96">
        <f t="shared" si="86"/>
        <v>3.4472194793864142</v>
      </c>
      <c r="AS543" s="96">
        <f t="shared" si="87"/>
        <v>0.16710286813341119</v>
      </c>
      <c r="AT543" s="50">
        <f>IF(head!F$82="S235",235,IF(head!F$82="S275",275,IF(head!F$82="S355",355,IF(head!F$82="S420",420,460))))*AS543*J543/1000</f>
        <v>295.01428440199794</v>
      </c>
      <c r="AU543" s="207" t="s">
        <v>47</v>
      </c>
      <c r="AV543" s="208" t="s">
        <v>47</v>
      </c>
      <c r="AW543" s="208" t="s">
        <v>47</v>
      </c>
      <c r="AX543" s="209" t="s">
        <v>47</v>
      </c>
      <c r="AY543" s="208" t="s">
        <v>47</v>
      </c>
      <c r="AZ543" s="197">
        <v>0</v>
      </c>
      <c r="BA543" s="97" t="str">
        <f t="shared" si="88"/>
        <v>HF CHS 168,3 x 12,5</v>
      </c>
    </row>
    <row r="544" spans="1:53">
      <c r="A544" s="82" t="s">
        <v>658</v>
      </c>
      <c r="B544" s="83">
        <f t="shared" si="89"/>
        <v>353.01863611932799</v>
      </c>
      <c r="C544" s="84">
        <v>168.3</v>
      </c>
      <c r="D544" s="84"/>
      <c r="E544" s="125" t="s">
        <v>829</v>
      </c>
      <c r="F544" s="84"/>
      <c r="G544" s="84"/>
      <c r="H544" s="85">
        <v>48.028275788999053</v>
      </c>
      <c r="I544" s="86">
        <v>48.946013542928974</v>
      </c>
      <c r="J544" s="86">
        <v>6118.2516928661225</v>
      </c>
      <c r="K544" s="86">
        <v>0.5287300435991622</v>
      </c>
      <c r="L544" s="87">
        <v>18683526.981129147</v>
      </c>
      <c r="M544" s="88">
        <v>222026.4644222121</v>
      </c>
      <c r="N544" s="88">
        <v>304071.54166666669</v>
      </c>
      <c r="O544" s="89">
        <v>55.26062115105114</v>
      </c>
      <c r="P544" s="88">
        <v>18683526.981129147</v>
      </c>
      <c r="Q544" s="88">
        <v>222026.4644222121</v>
      </c>
      <c r="R544" s="88">
        <v>304071.54166666669</v>
      </c>
      <c r="S544" s="86">
        <v>55.26062115105114</v>
      </c>
      <c r="T544" s="87">
        <v>37367053.962258294</v>
      </c>
      <c r="U544" s="119"/>
      <c r="V544" s="90">
        <v>1</v>
      </c>
      <c r="W544" s="91">
        <v>1</v>
      </c>
      <c r="X544" s="91">
        <v>1</v>
      </c>
      <c r="Y544" s="91">
        <v>1</v>
      </c>
      <c r="Z544" s="91">
        <v>1</v>
      </c>
      <c r="AA544" s="92">
        <v>1</v>
      </c>
      <c r="AB544" s="91">
        <v>1</v>
      </c>
      <c r="AC544" s="91">
        <v>1</v>
      </c>
      <c r="AD544" s="91">
        <v>1</v>
      </c>
      <c r="AE544" s="91">
        <v>1</v>
      </c>
      <c r="AF544" s="90">
        <v>1</v>
      </c>
      <c r="AG544" s="91">
        <v>1</v>
      </c>
      <c r="AH544" s="91">
        <v>1</v>
      </c>
      <c r="AI544" s="91">
        <v>1</v>
      </c>
      <c r="AJ544" s="91">
        <v>1</v>
      </c>
      <c r="AK544" s="210">
        <f t="shared" si="84"/>
        <v>86.418485237483949</v>
      </c>
      <c r="AL544" s="146"/>
      <c r="AM544" s="94"/>
      <c r="AN544" s="95"/>
      <c r="AO544" s="91" t="str">
        <f>IF(head!$F$82="S460","a0","a")</f>
        <v>a</v>
      </c>
      <c r="AP544" s="91">
        <f t="shared" si="85"/>
        <v>0.21</v>
      </c>
      <c r="AQ544" s="96">
        <f>IF(head!F$82="S235",235,IF(head!F$82="S275",275,IF(head!F$82="S355",355,IF(head!F$82="S420",420,460))))^0.5*head!$G$70*1000/(S544*3.1416*210000^0.5)</f>
        <v>2.3683063457388038</v>
      </c>
      <c r="AR544" s="96">
        <f t="shared" si="86"/>
        <v>3.5321096399359178</v>
      </c>
      <c r="AS544" s="96">
        <f t="shared" si="87"/>
        <v>0.16253314561304713</v>
      </c>
      <c r="AT544" s="50">
        <f>IF(head!F$82="S235",235,IF(head!F$82="S275",275,IF(head!F$82="S355",355,IF(head!F$82="S420",420,460))))*AS544*J544/1000</f>
        <v>353.01863611932799</v>
      </c>
      <c r="AU544" s="207" t="s">
        <v>47</v>
      </c>
      <c r="AV544" s="208" t="s">
        <v>47</v>
      </c>
      <c r="AW544" s="208" t="s">
        <v>47</v>
      </c>
      <c r="AX544" s="209" t="s">
        <v>47</v>
      </c>
      <c r="AY544" s="208" t="s">
        <v>47</v>
      </c>
      <c r="AZ544" s="197">
        <v>0</v>
      </c>
      <c r="BA544" s="97" t="str">
        <f t="shared" si="88"/>
        <v>HF CHS 168,3 x 14,2</v>
      </c>
    </row>
    <row r="545" spans="1:53">
      <c r="A545" s="82" t="s">
        <v>659</v>
      </c>
      <c r="B545" s="83">
        <f t="shared" si="89"/>
        <v>389.26879477968578</v>
      </c>
      <c r="C545" s="84">
        <v>168.3</v>
      </c>
      <c r="D545" s="84"/>
      <c r="E545" s="125" t="s">
        <v>830</v>
      </c>
      <c r="F545" s="84"/>
      <c r="G545" s="84"/>
      <c r="H545" s="85">
        <v>53.964792630040321</v>
      </c>
      <c r="I545" s="86">
        <v>54.99596701150606</v>
      </c>
      <c r="J545" s="86">
        <v>6874.4958764382582</v>
      </c>
      <c r="K545" s="86">
        <v>0.5287300435991622</v>
      </c>
      <c r="L545" s="87">
        <v>20579190.09651098</v>
      </c>
      <c r="M545" s="88">
        <v>244553.65533584051</v>
      </c>
      <c r="N545" s="88">
        <v>338159.13133333332</v>
      </c>
      <c r="O545" s="89">
        <v>54.713401009259151</v>
      </c>
      <c r="P545" s="88">
        <v>20579190.09651098</v>
      </c>
      <c r="Q545" s="88">
        <v>244553.65533584051</v>
      </c>
      <c r="R545" s="88">
        <v>338159.13133333332</v>
      </c>
      <c r="S545" s="86">
        <v>54.713401009259151</v>
      </c>
      <c r="T545" s="87">
        <v>41158380.193021961</v>
      </c>
      <c r="U545" s="119"/>
      <c r="V545" s="90">
        <v>1</v>
      </c>
      <c r="W545" s="91">
        <v>1</v>
      </c>
      <c r="X545" s="91">
        <v>1</v>
      </c>
      <c r="Y545" s="91">
        <v>1</v>
      </c>
      <c r="Z545" s="91">
        <v>1</v>
      </c>
      <c r="AA545" s="92">
        <v>1</v>
      </c>
      <c r="AB545" s="91">
        <v>1</v>
      </c>
      <c r="AC545" s="91">
        <v>1</v>
      </c>
      <c r="AD545" s="91">
        <v>1</v>
      </c>
      <c r="AE545" s="91">
        <v>1</v>
      </c>
      <c r="AF545" s="90">
        <v>1</v>
      </c>
      <c r="AG545" s="91">
        <v>1</v>
      </c>
      <c r="AH545" s="91">
        <v>1</v>
      </c>
      <c r="AI545" s="91">
        <v>1</v>
      </c>
      <c r="AJ545" s="91">
        <v>1</v>
      </c>
      <c r="AK545" s="210">
        <f t="shared" si="84"/>
        <v>76.911827878366879</v>
      </c>
      <c r="AL545" s="146"/>
      <c r="AM545" s="94"/>
      <c r="AN545" s="95"/>
      <c r="AO545" s="91" t="str">
        <f>IF(head!$F$82="S460","a0","a")</f>
        <v>a</v>
      </c>
      <c r="AP545" s="91">
        <f t="shared" si="85"/>
        <v>0.21</v>
      </c>
      <c r="AQ545" s="96">
        <f>IF(head!F$82="S235",235,IF(head!F$82="S275",275,IF(head!F$82="S355",355,IF(head!F$82="S420",420,460))))^0.5*head!$G$70*1000/(S545*3.1416*210000^0.5)</f>
        <v>2.3919931374647048</v>
      </c>
      <c r="AR545" s="96">
        <f t="shared" si="86"/>
        <v>3.5909748642729147</v>
      </c>
      <c r="AS545" s="96">
        <f t="shared" si="87"/>
        <v>0.15950723311058682</v>
      </c>
      <c r="AT545" s="50">
        <f>IF(head!F$82="S235",235,IF(head!F$82="S275",275,IF(head!F$82="S355",355,IF(head!F$82="S420",420,460))))*AS545*J545/1000</f>
        <v>389.26879477968578</v>
      </c>
      <c r="AU545" s="207" t="s">
        <v>47</v>
      </c>
      <c r="AV545" s="208" t="s">
        <v>47</v>
      </c>
      <c r="AW545" s="208" t="s">
        <v>47</v>
      </c>
      <c r="AX545" s="209" t="s">
        <v>47</v>
      </c>
      <c r="AY545" s="208" t="s">
        <v>47</v>
      </c>
      <c r="AZ545" s="197">
        <v>0</v>
      </c>
      <c r="BA545" s="97" t="str">
        <f t="shared" si="88"/>
        <v>HF CHS 168,3 x 16</v>
      </c>
    </row>
    <row r="546" spans="1:53">
      <c r="A546" s="82" t="s">
        <v>660</v>
      </c>
      <c r="B546" s="83">
        <f t="shared" si="89"/>
        <v>424.9792456183485</v>
      </c>
      <c r="C546" s="84">
        <v>168.3</v>
      </c>
      <c r="D546" s="84"/>
      <c r="E546" s="125" t="s">
        <v>831</v>
      </c>
      <c r="F546" s="84"/>
      <c r="G546" s="84"/>
      <c r="H546" s="85">
        <v>60.095148879400725</v>
      </c>
      <c r="I546" s="86">
        <v>61.243463826140868</v>
      </c>
      <c r="J546" s="86">
        <v>7655.4329782676086</v>
      </c>
      <c r="K546" s="86">
        <v>0.5287300435991622</v>
      </c>
      <c r="L546" s="87">
        <v>22441222.356114678</v>
      </c>
      <c r="M546" s="88">
        <v>266681.19258603296</v>
      </c>
      <c r="N546" s="88">
        <v>372489.97333333339</v>
      </c>
      <c r="O546" s="89">
        <v>54.142508715426189</v>
      </c>
      <c r="P546" s="88">
        <v>22441222.356114678</v>
      </c>
      <c r="Q546" s="88">
        <v>266681.19258603296</v>
      </c>
      <c r="R546" s="88">
        <v>372489.97333333339</v>
      </c>
      <c r="S546" s="86">
        <v>54.142508715426189</v>
      </c>
      <c r="T546" s="87">
        <v>44882444.712229356</v>
      </c>
      <c r="U546" s="119"/>
      <c r="V546" s="90">
        <v>1</v>
      </c>
      <c r="W546" s="91">
        <v>1</v>
      </c>
      <c r="X546" s="91">
        <v>1</v>
      </c>
      <c r="Y546" s="91">
        <v>1</v>
      </c>
      <c r="Z546" s="91">
        <v>1</v>
      </c>
      <c r="AA546" s="92">
        <v>1</v>
      </c>
      <c r="AB546" s="91">
        <v>1</v>
      </c>
      <c r="AC546" s="91">
        <v>1</v>
      </c>
      <c r="AD546" s="91">
        <v>1</v>
      </c>
      <c r="AE546" s="91">
        <v>1</v>
      </c>
      <c r="AF546" s="90">
        <v>1</v>
      </c>
      <c r="AG546" s="91">
        <v>1</v>
      </c>
      <c r="AH546" s="91">
        <v>1</v>
      </c>
      <c r="AI546" s="91">
        <v>1</v>
      </c>
      <c r="AJ546" s="91">
        <v>1</v>
      </c>
      <c r="AK546" s="210">
        <f t="shared" si="84"/>
        <v>69.065988181221272</v>
      </c>
      <c r="AL546" s="146"/>
      <c r="AM546" s="94"/>
      <c r="AN546" s="95"/>
      <c r="AO546" s="91" t="str">
        <f>IF(head!$F$82="S460","a0","a")</f>
        <v>a</v>
      </c>
      <c r="AP546" s="91">
        <f t="shared" si="85"/>
        <v>0.21</v>
      </c>
      <c r="AQ546" s="96">
        <f>IF(head!F$82="S235",235,IF(head!F$82="S275",275,IF(head!F$82="S355",355,IF(head!F$82="S420",420,460))))^0.5*head!$G$70*1000/(S546*3.1416*210000^0.5)</f>
        <v>2.4172149175683457</v>
      </c>
      <c r="AR546" s="96">
        <f t="shared" si="86"/>
        <v>3.6542715452021484</v>
      </c>
      <c r="AS546" s="96">
        <f t="shared" si="87"/>
        <v>0.15637582341104209</v>
      </c>
      <c r="AT546" s="50">
        <f>IF(head!F$82="S235",235,IF(head!F$82="S275",275,IF(head!F$82="S355",355,IF(head!F$82="S420",420,460))))*AS546*J546/1000</f>
        <v>424.9792456183485</v>
      </c>
      <c r="AU546" s="207" t="s">
        <v>47</v>
      </c>
      <c r="AV546" s="208" t="s">
        <v>47</v>
      </c>
      <c r="AW546" s="208" t="s">
        <v>47</v>
      </c>
      <c r="AX546" s="209" t="s">
        <v>47</v>
      </c>
      <c r="AY546" s="208" t="s">
        <v>47</v>
      </c>
      <c r="AZ546" s="197">
        <v>0</v>
      </c>
      <c r="BA546" s="97" t="str">
        <f t="shared" si="88"/>
        <v>HF CHS 168,3 x 20</v>
      </c>
    </row>
    <row r="547" spans="1:53">
      <c r="A547" s="82" t="s">
        <v>661</v>
      </c>
      <c r="B547" s="83">
        <f t="shared" si="89"/>
        <v>495.14525142776387</v>
      </c>
      <c r="C547" s="84">
        <v>168.3</v>
      </c>
      <c r="D547" s="84"/>
      <c r="E547" s="125" t="s">
        <v>833</v>
      </c>
      <c r="F547" s="84"/>
      <c r="G547" s="84"/>
      <c r="H547" s="85">
        <v>73.146015912796514</v>
      </c>
      <c r="I547" s="86">
        <v>74.543710484378607</v>
      </c>
      <c r="J547" s="86">
        <v>9317.9638105473259</v>
      </c>
      <c r="K547" s="86">
        <v>0.5287300435991622</v>
      </c>
      <c r="L547" s="87">
        <v>26082017.329195898</v>
      </c>
      <c r="M547" s="88">
        <v>309946.72999638616</v>
      </c>
      <c r="N547" s="88">
        <v>442524.46666666673</v>
      </c>
      <c r="O547" s="89">
        <v>52.906627656655651</v>
      </c>
      <c r="P547" s="88">
        <v>26082017.329195898</v>
      </c>
      <c r="Q547" s="88">
        <v>309946.72999638616</v>
      </c>
      <c r="R547" s="88">
        <v>442524.46666666673</v>
      </c>
      <c r="S547" s="86">
        <v>52.906627656655651</v>
      </c>
      <c r="T547" s="87">
        <v>52164034.658391796</v>
      </c>
      <c r="U547" s="119"/>
      <c r="V547" s="90">
        <v>1</v>
      </c>
      <c r="W547" s="91">
        <v>1</v>
      </c>
      <c r="X547" s="91">
        <v>1</v>
      </c>
      <c r="Y547" s="91">
        <v>1</v>
      </c>
      <c r="Z547" s="91">
        <v>1</v>
      </c>
      <c r="AA547" s="92">
        <v>1</v>
      </c>
      <c r="AB547" s="91">
        <v>1</v>
      </c>
      <c r="AC547" s="91">
        <v>1</v>
      </c>
      <c r="AD547" s="91">
        <v>1</v>
      </c>
      <c r="AE547" s="91">
        <v>1</v>
      </c>
      <c r="AF547" s="90">
        <v>1</v>
      </c>
      <c r="AG547" s="91">
        <v>1</v>
      </c>
      <c r="AH547" s="91">
        <v>1</v>
      </c>
      <c r="AI547" s="91">
        <v>1</v>
      </c>
      <c r="AJ547" s="91">
        <v>1</v>
      </c>
      <c r="AK547" s="210">
        <f t="shared" si="84"/>
        <v>56.743088334457191</v>
      </c>
      <c r="AL547" s="146"/>
      <c r="AM547" s="94"/>
      <c r="AN547" s="95"/>
      <c r="AO547" s="91" t="str">
        <f>IF(head!$F$82="S460","a0","a")</f>
        <v>a</v>
      </c>
      <c r="AP547" s="91">
        <f t="shared" si="85"/>
        <v>0.21</v>
      </c>
      <c r="AQ547" s="96">
        <f>IF(head!F$82="S235",235,IF(head!F$82="S275",275,IF(head!F$82="S355",355,IF(head!F$82="S420",420,460))))^0.5*head!$G$70*1000/(S547*3.1416*210000^0.5)</f>
        <v>2.4736802464679188</v>
      </c>
      <c r="AR547" s="96">
        <f t="shared" si="86"/>
        <v>3.7982834067619233</v>
      </c>
      <c r="AS547" s="96">
        <f t="shared" si="87"/>
        <v>0.14968671101252309</v>
      </c>
      <c r="AT547" s="50">
        <f>IF(head!F$82="S235",235,IF(head!F$82="S275",275,IF(head!F$82="S355",355,IF(head!F$82="S420",420,460))))*AS547*J547/1000</f>
        <v>495.14525142776387</v>
      </c>
      <c r="AU547" s="207" t="s">
        <v>47</v>
      </c>
      <c r="AV547" s="208" t="s">
        <v>47</v>
      </c>
      <c r="AW547" s="208" t="s">
        <v>47</v>
      </c>
      <c r="AX547" s="209" t="s">
        <v>47</v>
      </c>
      <c r="AY547" s="208" t="s">
        <v>47</v>
      </c>
      <c r="AZ547" s="197">
        <v>0</v>
      </c>
      <c r="BA547" s="97" t="str">
        <f t="shared" si="88"/>
        <v>HF CHS 177,8 x 5</v>
      </c>
    </row>
    <row r="548" spans="1:53">
      <c r="A548" s="82" t="s">
        <v>129</v>
      </c>
      <c r="B548" s="83">
        <f t="shared" si="89"/>
        <v>189.22256634580418</v>
      </c>
      <c r="C548" s="84">
        <v>177.8</v>
      </c>
      <c r="D548" s="84"/>
      <c r="E548" s="125">
        <v>5</v>
      </c>
      <c r="F548" s="84"/>
      <c r="G548" s="84"/>
      <c r="H548" s="85">
        <v>21.307538013707411</v>
      </c>
      <c r="I548" s="86">
        <v>21.714688421612649</v>
      </c>
      <c r="J548" s="86">
        <v>2714.3360527015811</v>
      </c>
      <c r="K548" s="86">
        <v>0.55857517380826527</v>
      </c>
      <c r="L548" s="87">
        <v>10139687.330152292</v>
      </c>
      <c r="M548" s="88">
        <v>114057.22531104939</v>
      </c>
      <c r="N548" s="88">
        <v>149340.8666666667</v>
      </c>
      <c r="O548" s="89">
        <v>61.119595875627326</v>
      </c>
      <c r="P548" s="88">
        <v>10139687.330152292</v>
      </c>
      <c r="Q548" s="88">
        <v>114057.22531104939</v>
      </c>
      <c r="R548" s="88">
        <v>149340.8666666667</v>
      </c>
      <c r="S548" s="86">
        <v>61.119595875627326</v>
      </c>
      <c r="T548" s="87">
        <v>20279374.660304584</v>
      </c>
      <c r="U548" s="119"/>
      <c r="V548" s="90">
        <v>1</v>
      </c>
      <c r="W548" s="91">
        <v>1</v>
      </c>
      <c r="X548" s="91">
        <v>2</v>
      </c>
      <c r="Y548" s="91">
        <v>2</v>
      </c>
      <c r="Z548" s="91">
        <v>2</v>
      </c>
      <c r="AA548" s="92">
        <v>1</v>
      </c>
      <c r="AB548" s="91">
        <v>2</v>
      </c>
      <c r="AC548" s="91">
        <v>3</v>
      </c>
      <c r="AD548" s="91">
        <v>3</v>
      </c>
      <c r="AE548" s="91">
        <v>4</v>
      </c>
      <c r="AF548" s="90">
        <v>1</v>
      </c>
      <c r="AG548" s="91">
        <v>2</v>
      </c>
      <c r="AH548" s="91">
        <v>3</v>
      </c>
      <c r="AI548" s="91">
        <v>3</v>
      </c>
      <c r="AJ548" s="91">
        <v>4</v>
      </c>
      <c r="AK548" s="210">
        <f t="shared" si="84"/>
        <v>205.78703703703707</v>
      </c>
      <c r="AL548" s="146"/>
      <c r="AM548" s="94"/>
      <c r="AN548" s="95"/>
      <c r="AO548" s="91" t="str">
        <f>IF(head!$F$82="S460","a0","a")</f>
        <v>a</v>
      </c>
      <c r="AP548" s="91">
        <f t="shared" si="85"/>
        <v>0.21</v>
      </c>
      <c r="AQ548" s="96">
        <f>IF(head!F$82="S235",235,IF(head!F$82="S275",275,IF(head!F$82="S355",355,IF(head!F$82="S420",420,460))))^0.5*head!$G$70*1000/(S548*3.1416*210000^0.5)</f>
        <v>2.1412785517728046</v>
      </c>
      <c r="AR548" s="96">
        <f t="shared" si="86"/>
        <v>2.9963711660772643</v>
      </c>
      <c r="AS548" s="96">
        <f t="shared" si="87"/>
        <v>0.19637263157582718</v>
      </c>
      <c r="AT548" s="50">
        <f>IF(head!F$82="S235",235,IF(head!F$82="S275",275,IF(head!F$82="S355",355,IF(head!F$82="S420",420,460))))*AS548*J548/1000</f>
        <v>189.22256634580418</v>
      </c>
      <c r="AU548" s="207" t="s">
        <v>47</v>
      </c>
      <c r="AV548" s="208" t="s">
        <v>47</v>
      </c>
      <c r="AW548" s="208" t="s">
        <v>47</v>
      </c>
      <c r="AX548" s="209" t="s">
        <v>47</v>
      </c>
      <c r="AY548" s="208" t="s">
        <v>47</v>
      </c>
      <c r="AZ548" s="197">
        <v>0</v>
      </c>
      <c r="BA548" s="97" t="str">
        <f t="shared" si="88"/>
        <v>HF CHS 177,8 x 6,3</v>
      </c>
    </row>
    <row r="549" spans="1:53">
      <c r="A549" s="82" t="s">
        <v>662</v>
      </c>
      <c r="B549" s="83">
        <f t="shared" si="89"/>
        <v>233.42690997250503</v>
      </c>
      <c r="C549" s="84">
        <v>177.8</v>
      </c>
      <c r="D549" s="84"/>
      <c r="E549" s="125" t="s">
        <v>824</v>
      </c>
      <c r="F549" s="84"/>
      <c r="G549" s="84"/>
      <c r="H549" s="85">
        <v>26.645520193183067</v>
      </c>
      <c r="I549" s="86">
        <v>27.154670260568732</v>
      </c>
      <c r="J549" s="86">
        <v>3394.3337825710914</v>
      </c>
      <c r="K549" s="86">
        <v>0.55857517380826527</v>
      </c>
      <c r="L549" s="87">
        <v>12496214.363032106</v>
      </c>
      <c r="M549" s="88">
        <v>140564.8409789888</v>
      </c>
      <c r="N549" s="88">
        <v>185380.52400000006</v>
      </c>
      <c r="O549" s="89">
        <v>60.675303872333437</v>
      </c>
      <c r="P549" s="88">
        <v>12496214.363032106</v>
      </c>
      <c r="Q549" s="88">
        <v>140564.8409789888</v>
      </c>
      <c r="R549" s="88">
        <v>185380.52400000006</v>
      </c>
      <c r="S549" s="86">
        <v>60.675303872333437</v>
      </c>
      <c r="T549" s="87">
        <v>24992428.726064213</v>
      </c>
      <c r="U549" s="119"/>
      <c r="V549" s="90">
        <v>1</v>
      </c>
      <c r="W549" s="91">
        <v>1</v>
      </c>
      <c r="X549" s="91">
        <v>1</v>
      </c>
      <c r="Y549" s="91">
        <v>2</v>
      </c>
      <c r="Z549" s="91">
        <v>2</v>
      </c>
      <c r="AA549" s="92">
        <v>1</v>
      </c>
      <c r="AB549" s="91">
        <v>1</v>
      </c>
      <c r="AC549" s="91">
        <v>2</v>
      </c>
      <c r="AD549" s="91">
        <v>2</v>
      </c>
      <c r="AE549" s="91">
        <v>3</v>
      </c>
      <c r="AF549" s="90">
        <v>1</v>
      </c>
      <c r="AG549" s="91">
        <v>1</v>
      </c>
      <c r="AH549" s="91">
        <v>2</v>
      </c>
      <c r="AI549" s="91">
        <v>2</v>
      </c>
      <c r="AJ549" s="91">
        <v>3</v>
      </c>
      <c r="AK549" s="210">
        <f t="shared" si="84"/>
        <v>164.56106252024625</v>
      </c>
      <c r="AL549" s="146"/>
      <c r="AM549" s="94"/>
      <c r="AN549" s="95"/>
      <c r="AO549" s="91" t="str">
        <f>IF(head!$F$82="S460","a0","a")</f>
        <v>a</v>
      </c>
      <c r="AP549" s="91">
        <f t="shared" si="85"/>
        <v>0.21</v>
      </c>
      <c r="AQ549" s="96">
        <f>IF(head!F$82="S235",235,IF(head!F$82="S275",275,IF(head!F$82="S355",355,IF(head!F$82="S420",420,460))))^0.5*head!$G$70*1000/(S549*3.1416*210000^0.5)</f>
        <v>2.1569579612963086</v>
      </c>
      <c r="AR549" s="96">
        <f t="shared" si="86"/>
        <v>3.0317144093358763</v>
      </c>
      <c r="AS549" s="96">
        <f t="shared" si="87"/>
        <v>0.19371712789358642</v>
      </c>
      <c r="AT549" s="50">
        <f>IF(head!F$82="S235",235,IF(head!F$82="S275",275,IF(head!F$82="S355",355,IF(head!F$82="S420",420,460))))*AS549*J549/1000</f>
        <v>233.42690997250503</v>
      </c>
      <c r="AU549" s="207" t="s">
        <v>47</v>
      </c>
      <c r="AV549" s="208" t="s">
        <v>47</v>
      </c>
      <c r="AW549" s="208" t="s">
        <v>47</v>
      </c>
      <c r="AX549" s="209" t="s">
        <v>47</v>
      </c>
      <c r="AY549" s="208" t="s">
        <v>47</v>
      </c>
      <c r="AZ549" s="197">
        <v>0</v>
      </c>
      <c r="BA549" s="97" t="str">
        <f t="shared" si="88"/>
        <v>HF CHS 177,8 x 8</v>
      </c>
    </row>
    <row r="550" spans="1:53">
      <c r="A550" s="82" t="s">
        <v>663</v>
      </c>
      <c r="B550" s="83">
        <f t="shared" si="89"/>
        <v>288.29930050933757</v>
      </c>
      <c r="C550" s="84">
        <v>177.8</v>
      </c>
      <c r="D550" s="84"/>
      <c r="E550" s="125" t="s">
        <v>826</v>
      </c>
      <c r="F550" s="84"/>
      <c r="G550" s="84"/>
      <c r="H550" s="85">
        <v>33.500184765995527</v>
      </c>
      <c r="I550" s="86">
        <v>34.140315685090982</v>
      </c>
      <c r="J550" s="86">
        <v>4267.5394606363734</v>
      </c>
      <c r="K550" s="86">
        <v>0.55857517380826527</v>
      </c>
      <c r="L550" s="87">
        <v>15414373.869515892</v>
      </c>
      <c r="M550" s="88">
        <v>173390.032278019</v>
      </c>
      <c r="N550" s="88">
        <v>230826.98666666663</v>
      </c>
      <c r="O550" s="89">
        <v>60.09995840264785</v>
      </c>
      <c r="P550" s="88">
        <v>15414373.869515892</v>
      </c>
      <c r="Q550" s="88">
        <v>173390.032278019</v>
      </c>
      <c r="R550" s="88">
        <v>230826.98666666663</v>
      </c>
      <c r="S550" s="86">
        <v>60.09995840264785</v>
      </c>
      <c r="T550" s="87">
        <v>30828747.739031784</v>
      </c>
      <c r="U550" s="119"/>
      <c r="V550" s="90">
        <v>1</v>
      </c>
      <c r="W550" s="91">
        <v>1</v>
      </c>
      <c r="X550" s="91">
        <v>1</v>
      </c>
      <c r="Y550" s="91">
        <v>1</v>
      </c>
      <c r="Z550" s="91">
        <v>1</v>
      </c>
      <c r="AA550" s="92">
        <v>1</v>
      </c>
      <c r="AB550" s="91">
        <v>1</v>
      </c>
      <c r="AC550" s="91">
        <v>1</v>
      </c>
      <c r="AD550" s="91">
        <v>2</v>
      </c>
      <c r="AE550" s="91">
        <v>2</v>
      </c>
      <c r="AF550" s="90">
        <v>1</v>
      </c>
      <c r="AG550" s="91">
        <v>1</v>
      </c>
      <c r="AH550" s="91">
        <v>1</v>
      </c>
      <c r="AI550" s="91">
        <v>2</v>
      </c>
      <c r="AJ550" s="91">
        <v>2</v>
      </c>
      <c r="AK550" s="210">
        <f t="shared" si="84"/>
        <v>130.88928150765614</v>
      </c>
      <c r="AL550" s="146"/>
      <c r="AM550" s="94"/>
      <c r="AN550" s="95"/>
      <c r="AO550" s="91" t="str">
        <f>IF(head!$F$82="S460","a0","a")</f>
        <v>a</v>
      </c>
      <c r="AP550" s="91">
        <f t="shared" si="85"/>
        <v>0.21</v>
      </c>
      <c r="AQ550" s="96">
        <f>IF(head!F$82="S235",235,IF(head!F$82="S275",275,IF(head!F$82="S355",355,IF(head!F$82="S420",420,460))))^0.5*head!$G$70*1000/(S550*3.1416*210000^0.5)</f>
        <v>2.177606827357411</v>
      </c>
      <c r="AR550" s="96">
        <f t="shared" si="86"/>
        <v>3.0786344641493328</v>
      </c>
      <c r="AS550" s="96">
        <f t="shared" si="87"/>
        <v>0.19029951876274023</v>
      </c>
      <c r="AT550" s="50">
        <f>IF(head!F$82="S235",235,IF(head!F$82="S275",275,IF(head!F$82="S355",355,IF(head!F$82="S420",420,460))))*AS550*J550/1000</f>
        <v>288.29930050933757</v>
      </c>
      <c r="AU550" s="207" t="s">
        <v>47</v>
      </c>
      <c r="AV550" s="208" t="s">
        <v>47</v>
      </c>
      <c r="AW550" s="208" t="s">
        <v>47</v>
      </c>
      <c r="AX550" s="209" t="s">
        <v>47</v>
      </c>
      <c r="AY550" s="208" t="s">
        <v>47</v>
      </c>
      <c r="AZ550" s="197">
        <v>0</v>
      </c>
      <c r="BA550" s="97" t="str">
        <f t="shared" si="88"/>
        <v>HF CHS 177,8 x 8,8</v>
      </c>
    </row>
    <row r="551" spans="1:53">
      <c r="A551" s="82" t="s">
        <v>664</v>
      </c>
      <c r="B551" s="83">
        <f t="shared" si="89"/>
        <v>313.00354839748888</v>
      </c>
      <c r="C551" s="84">
        <v>177.8</v>
      </c>
      <c r="D551" s="84"/>
      <c r="E551" s="125" t="s">
        <v>827</v>
      </c>
      <c r="F551" s="84"/>
      <c r="G551" s="84"/>
      <c r="H551" s="85">
        <v>36.676586266187108</v>
      </c>
      <c r="I551" s="86">
        <v>37.377412755349916</v>
      </c>
      <c r="J551" s="86">
        <v>4672.17659441874</v>
      </c>
      <c r="K551" s="86">
        <v>0.55857517380826527</v>
      </c>
      <c r="L551" s="87">
        <v>16725481.133583177</v>
      </c>
      <c r="M551" s="88">
        <v>188138.14548462516</v>
      </c>
      <c r="N551" s="88">
        <v>251563.95733333341</v>
      </c>
      <c r="O551" s="89">
        <v>59.831471651631631</v>
      </c>
      <c r="P551" s="88">
        <v>16725481.133583177</v>
      </c>
      <c r="Q551" s="88">
        <v>188138.14548462516</v>
      </c>
      <c r="R551" s="88">
        <v>251563.95733333341</v>
      </c>
      <c r="S551" s="86">
        <v>59.831471651631631</v>
      </c>
      <c r="T551" s="87">
        <v>33450962.267166354</v>
      </c>
      <c r="U551" s="119"/>
      <c r="V551" s="90">
        <v>1</v>
      </c>
      <c r="W551" s="91">
        <v>1</v>
      </c>
      <c r="X551" s="91">
        <v>1</v>
      </c>
      <c r="Y551" s="91">
        <v>1</v>
      </c>
      <c r="Z551" s="91">
        <v>1</v>
      </c>
      <c r="AA551" s="92">
        <v>1</v>
      </c>
      <c r="AB551" s="91">
        <v>1</v>
      </c>
      <c r="AC551" s="91">
        <v>1</v>
      </c>
      <c r="AD551" s="91">
        <v>1</v>
      </c>
      <c r="AE551" s="91">
        <v>2</v>
      </c>
      <c r="AF551" s="90">
        <v>1</v>
      </c>
      <c r="AG551" s="91">
        <v>1</v>
      </c>
      <c r="AH551" s="91">
        <v>1</v>
      </c>
      <c r="AI551" s="91">
        <v>1</v>
      </c>
      <c r="AJ551" s="91">
        <v>2</v>
      </c>
      <c r="AK551" s="210">
        <f t="shared" si="84"/>
        <v>119.55352339967726</v>
      </c>
      <c r="AL551" s="146"/>
      <c r="AM551" s="94"/>
      <c r="AN551" s="95"/>
      <c r="AO551" s="91" t="str">
        <f>IF(head!$F$82="S460","a0","a")</f>
        <v>a</v>
      </c>
      <c r="AP551" s="91">
        <f t="shared" si="85"/>
        <v>0.21</v>
      </c>
      <c r="AQ551" s="96">
        <f>IF(head!F$82="S235",235,IF(head!F$82="S275",275,IF(head!F$82="S355",355,IF(head!F$82="S420",420,460))))^0.5*head!$G$70*1000/(S551*3.1416*210000^0.5)</f>
        <v>2.1873785840254083</v>
      </c>
      <c r="AR551" s="96">
        <f t="shared" si="86"/>
        <v>3.1009872862491679</v>
      </c>
      <c r="AS551" s="96">
        <f t="shared" si="87"/>
        <v>0.18871293036830211</v>
      </c>
      <c r="AT551" s="50">
        <f>IF(head!F$82="S235",235,IF(head!F$82="S275",275,IF(head!F$82="S355",355,IF(head!F$82="S420",420,460))))*AS551*J551/1000</f>
        <v>313.00354839748888</v>
      </c>
      <c r="AU551" s="207" t="s">
        <v>47</v>
      </c>
      <c r="AV551" s="208" t="s">
        <v>47</v>
      </c>
      <c r="AW551" s="208" t="s">
        <v>47</v>
      </c>
      <c r="AX551" s="209" t="s">
        <v>47</v>
      </c>
      <c r="AY551" s="208" t="s">
        <v>47</v>
      </c>
      <c r="AZ551" s="197">
        <v>0</v>
      </c>
      <c r="BA551" s="97" t="str">
        <f t="shared" si="88"/>
        <v>HF CHS 177,8 x 10</v>
      </c>
    </row>
    <row r="552" spans="1:53">
      <c r="A552" s="82" t="s">
        <v>665</v>
      </c>
      <c r="B552" s="83">
        <f t="shared" si="89"/>
        <v>348.75555067837075</v>
      </c>
      <c r="C552" s="84">
        <v>177.8</v>
      </c>
      <c r="D552" s="84"/>
      <c r="E552" s="125" t="s">
        <v>828</v>
      </c>
      <c r="F552" s="84"/>
      <c r="G552" s="84"/>
      <c r="H552" s="85">
        <v>41.382000910880826</v>
      </c>
      <c r="I552" s="86">
        <v>42.172739781789375</v>
      </c>
      <c r="J552" s="86">
        <v>5271.5924727236725</v>
      </c>
      <c r="K552" s="86">
        <v>0.55857517380826527</v>
      </c>
      <c r="L552" s="87">
        <v>18619818.130869653</v>
      </c>
      <c r="M552" s="88">
        <v>209446.77312564288</v>
      </c>
      <c r="N552" s="88">
        <v>281901.7333333334</v>
      </c>
      <c r="O552" s="89">
        <v>59.431515208683692</v>
      </c>
      <c r="P552" s="88">
        <v>18619818.130869653</v>
      </c>
      <c r="Q552" s="88">
        <v>209446.77312564288</v>
      </c>
      <c r="R552" s="88">
        <v>281901.7333333334</v>
      </c>
      <c r="S552" s="86">
        <v>59.431515208683692</v>
      </c>
      <c r="T552" s="87">
        <v>37239636.261739306</v>
      </c>
      <c r="U552" s="119"/>
      <c r="V552" s="90">
        <v>1</v>
      </c>
      <c r="W552" s="91">
        <v>1</v>
      </c>
      <c r="X552" s="91">
        <v>1</v>
      </c>
      <c r="Y552" s="91">
        <v>1</v>
      </c>
      <c r="Z552" s="91">
        <v>1</v>
      </c>
      <c r="AA552" s="92">
        <v>1</v>
      </c>
      <c r="AB552" s="91">
        <v>1</v>
      </c>
      <c r="AC552" s="91">
        <v>1</v>
      </c>
      <c r="AD552" s="91">
        <v>1</v>
      </c>
      <c r="AE552" s="91">
        <v>1</v>
      </c>
      <c r="AF552" s="90">
        <v>1</v>
      </c>
      <c r="AG552" s="91">
        <v>1</v>
      </c>
      <c r="AH552" s="91">
        <v>1</v>
      </c>
      <c r="AI552" s="91">
        <v>1</v>
      </c>
      <c r="AJ552" s="91">
        <v>1</v>
      </c>
      <c r="AK552" s="210">
        <f t="shared" si="84"/>
        <v>105.9594755661502</v>
      </c>
      <c r="AL552" s="146"/>
      <c r="AM552" s="94"/>
      <c r="AN552" s="95"/>
      <c r="AO552" s="91" t="str">
        <f>IF(head!$F$82="S460","a0","a")</f>
        <v>a</v>
      </c>
      <c r="AP552" s="91">
        <f t="shared" si="85"/>
        <v>0.21</v>
      </c>
      <c r="AQ552" s="96">
        <f>IF(head!F$82="S235",235,IF(head!F$82="S275",275,IF(head!F$82="S355",355,IF(head!F$82="S420",420,460))))^0.5*head!$G$70*1000/(S552*3.1416*210000^0.5)</f>
        <v>2.2020989921249727</v>
      </c>
      <c r="AR552" s="96">
        <f t="shared" si="86"/>
        <v>3.1348403797320326</v>
      </c>
      <c r="AS552" s="96">
        <f t="shared" si="87"/>
        <v>0.18635924665916409</v>
      </c>
      <c r="AT552" s="50">
        <f>IF(head!F$82="S235",235,IF(head!F$82="S275",275,IF(head!F$82="S355",355,IF(head!F$82="S420",420,460))))*AS552*J552/1000</f>
        <v>348.75555067837075</v>
      </c>
      <c r="AU552" s="207" t="s">
        <v>47</v>
      </c>
      <c r="AV552" s="208" t="s">
        <v>47</v>
      </c>
      <c r="AW552" s="208" t="s">
        <v>47</v>
      </c>
      <c r="AX552" s="209" t="s">
        <v>47</v>
      </c>
      <c r="AY552" s="208" t="s">
        <v>47</v>
      </c>
      <c r="AZ552" s="197">
        <v>0</v>
      </c>
      <c r="BA552" s="97" t="str">
        <f t="shared" si="88"/>
        <v>HF CHS 177,8 x 12,5</v>
      </c>
    </row>
    <row r="553" spans="1:53">
      <c r="A553" s="82" t="s">
        <v>666</v>
      </c>
      <c r="B553" s="83">
        <f t="shared" si="89"/>
        <v>418.38409776100616</v>
      </c>
      <c r="C553" s="84">
        <v>177.8</v>
      </c>
      <c r="D553" s="84"/>
      <c r="E553" s="125" t="s">
        <v>829</v>
      </c>
      <c r="F553" s="84"/>
      <c r="G553" s="84"/>
      <c r="H553" s="85">
        <v>50.956829190767294</v>
      </c>
      <c r="I553" s="86">
        <v>51.93052656383928</v>
      </c>
      <c r="J553" s="86">
        <v>6491.3158204799101</v>
      </c>
      <c r="K553" s="86">
        <v>0.55857517380826527</v>
      </c>
      <c r="L553" s="87">
        <v>22297945.724270865</v>
      </c>
      <c r="M553" s="88">
        <v>250820.53683094334</v>
      </c>
      <c r="N553" s="88">
        <v>342202.16666666674</v>
      </c>
      <c r="O553" s="89">
        <v>58.609235620335475</v>
      </c>
      <c r="P553" s="88">
        <v>22297945.724270865</v>
      </c>
      <c r="Q553" s="88">
        <v>250820.53683094334</v>
      </c>
      <c r="R553" s="88">
        <v>342202.16666666674</v>
      </c>
      <c r="S553" s="86">
        <v>58.609235620335475</v>
      </c>
      <c r="T553" s="87">
        <v>44595891.448541731</v>
      </c>
      <c r="U553" s="119"/>
      <c r="V553" s="90">
        <v>1</v>
      </c>
      <c r="W553" s="91">
        <v>1</v>
      </c>
      <c r="X553" s="91">
        <v>1</v>
      </c>
      <c r="Y553" s="91">
        <v>1</v>
      </c>
      <c r="Z553" s="91">
        <v>1</v>
      </c>
      <c r="AA553" s="92">
        <v>1</v>
      </c>
      <c r="AB553" s="91">
        <v>1</v>
      </c>
      <c r="AC553" s="91">
        <v>1</v>
      </c>
      <c r="AD553" s="91">
        <v>1</v>
      </c>
      <c r="AE553" s="91">
        <v>1</v>
      </c>
      <c r="AF553" s="90">
        <v>1</v>
      </c>
      <c r="AG553" s="91">
        <v>1</v>
      </c>
      <c r="AH553" s="91">
        <v>1</v>
      </c>
      <c r="AI553" s="91">
        <v>1</v>
      </c>
      <c r="AJ553" s="91">
        <v>1</v>
      </c>
      <c r="AK553" s="210">
        <f t="shared" si="84"/>
        <v>86.049606775559596</v>
      </c>
      <c r="AL553" s="146"/>
      <c r="AM553" s="94"/>
      <c r="AN553" s="95"/>
      <c r="AO553" s="91" t="str">
        <f>IF(head!$F$82="S460","a0","a")</f>
        <v>a</v>
      </c>
      <c r="AP553" s="91">
        <f t="shared" si="85"/>
        <v>0.21</v>
      </c>
      <c r="AQ553" s="96">
        <f>IF(head!F$82="S235",235,IF(head!F$82="S275",275,IF(head!F$82="S355",355,IF(head!F$82="S420",420,460))))^0.5*head!$G$70*1000/(S553*3.1416*210000^0.5)</f>
        <v>2.2329941408772331</v>
      </c>
      <c r="AR553" s="96">
        <f t="shared" si="86"/>
        <v>3.2065958013881355</v>
      </c>
      <c r="AS553" s="96">
        <f t="shared" si="87"/>
        <v>0.18155745103913681</v>
      </c>
      <c r="AT553" s="50">
        <f>IF(head!F$82="S235",235,IF(head!F$82="S275",275,IF(head!F$82="S355",355,IF(head!F$82="S420",420,460))))*AS553*J553/1000</f>
        <v>418.38409776100616</v>
      </c>
      <c r="AU553" s="207" t="s">
        <v>47</v>
      </c>
      <c r="AV553" s="208" t="s">
        <v>47</v>
      </c>
      <c r="AW553" s="208" t="s">
        <v>47</v>
      </c>
      <c r="AX553" s="209" t="s">
        <v>47</v>
      </c>
      <c r="AY553" s="208" t="s">
        <v>47</v>
      </c>
      <c r="AZ553" s="197">
        <v>0</v>
      </c>
      <c r="BA553" s="97" t="str">
        <f t="shared" si="88"/>
        <v>HF CHS 177,8 x 14,2</v>
      </c>
    </row>
    <row r="554" spans="1:53">
      <c r="A554" s="82" t="s">
        <v>667</v>
      </c>
      <c r="B554" s="83">
        <f t="shared" si="89"/>
        <v>462.14164908645216</v>
      </c>
      <c r="C554" s="84">
        <v>177.8</v>
      </c>
      <c r="D554" s="84"/>
      <c r="E554" s="125" t="s">
        <v>830</v>
      </c>
      <c r="F554" s="84"/>
      <c r="G554" s="84"/>
      <c r="H554" s="85">
        <v>57.291629294449052</v>
      </c>
      <c r="I554" s="86">
        <v>58.386373803260177</v>
      </c>
      <c r="J554" s="86">
        <v>7298.2967254075229</v>
      </c>
      <c r="K554" s="86">
        <v>0.55857517380826527</v>
      </c>
      <c r="L554" s="87">
        <v>24601281.059421819</v>
      </c>
      <c r="M554" s="88">
        <v>276729.82069090905</v>
      </c>
      <c r="N554" s="88">
        <v>381016.86133333354</v>
      </c>
      <c r="O554" s="89">
        <v>58.058806394895861</v>
      </c>
      <c r="P554" s="88">
        <v>24601281.059421819</v>
      </c>
      <c r="Q554" s="88">
        <v>276729.82069090905</v>
      </c>
      <c r="R554" s="88">
        <v>381016.86133333354</v>
      </c>
      <c r="S554" s="86">
        <v>58.058806394895861</v>
      </c>
      <c r="T554" s="87">
        <v>49202562.118843637</v>
      </c>
      <c r="U554" s="119"/>
      <c r="V554" s="90">
        <v>1</v>
      </c>
      <c r="W554" s="91">
        <v>1</v>
      </c>
      <c r="X554" s="91">
        <v>1</v>
      </c>
      <c r="Y554" s="91">
        <v>1</v>
      </c>
      <c r="Z554" s="91">
        <v>1</v>
      </c>
      <c r="AA554" s="92">
        <v>1</v>
      </c>
      <c r="AB554" s="91">
        <v>1</v>
      </c>
      <c r="AC554" s="91">
        <v>1</v>
      </c>
      <c r="AD554" s="91">
        <v>1</v>
      </c>
      <c r="AE554" s="91">
        <v>1</v>
      </c>
      <c r="AF554" s="90">
        <v>1</v>
      </c>
      <c r="AG554" s="91">
        <v>1</v>
      </c>
      <c r="AH554" s="91">
        <v>1</v>
      </c>
      <c r="AI554" s="91">
        <v>1</v>
      </c>
      <c r="AJ554" s="91">
        <v>1</v>
      </c>
      <c r="AK554" s="210">
        <f t="shared" ref="AK554:AK611" si="90">K554/J554*1000000</f>
        <v>76.535004648920392</v>
      </c>
      <c r="AL554" s="146"/>
      <c r="AM554" s="94"/>
      <c r="AN554" s="95"/>
      <c r="AO554" s="91" t="str">
        <f>IF(head!$F$82="S460","a0","a")</f>
        <v>a</v>
      </c>
      <c r="AP554" s="91">
        <f t="shared" si="85"/>
        <v>0.21</v>
      </c>
      <c r="AQ554" s="96">
        <f>IF(head!F$82="S235",235,IF(head!F$82="S275",275,IF(head!F$82="S355",355,IF(head!F$82="S420",420,460))))^0.5*head!$G$70*1000/(S554*3.1416*210000^0.5)</f>
        <v>2.2541641461132054</v>
      </c>
      <c r="AR554" s="96">
        <f t="shared" si="86"/>
        <v>3.2563152341530244</v>
      </c>
      <c r="AS554" s="96">
        <f t="shared" si="87"/>
        <v>0.17837140790444742</v>
      </c>
      <c r="AT554" s="50">
        <f>IF(head!F$82="S235",235,IF(head!F$82="S275",275,IF(head!F$82="S355",355,IF(head!F$82="S420",420,460))))*AS554*J554/1000</f>
        <v>462.14164908645216</v>
      </c>
      <c r="AU554" s="207" t="s">
        <v>47</v>
      </c>
      <c r="AV554" s="208" t="s">
        <v>47</v>
      </c>
      <c r="AW554" s="208" t="s">
        <v>47</v>
      </c>
      <c r="AX554" s="209" t="s">
        <v>47</v>
      </c>
      <c r="AY554" s="208" t="s">
        <v>47</v>
      </c>
      <c r="AZ554" s="197">
        <v>0</v>
      </c>
      <c r="BA554" s="97" t="str">
        <f t="shared" si="88"/>
        <v>HF CHS 177,8 x 16</v>
      </c>
    </row>
    <row r="555" spans="1:53">
      <c r="A555" s="82" t="s">
        <v>668</v>
      </c>
      <c r="B555" s="83">
        <f t="shared" si="89"/>
        <v>505.45746126500654</v>
      </c>
      <c r="C555" s="84">
        <v>177.8</v>
      </c>
      <c r="D555" s="84"/>
      <c r="E555" s="125" t="s">
        <v>831</v>
      </c>
      <c r="F555" s="84"/>
      <c r="G555" s="84"/>
      <c r="H555" s="85">
        <v>63.843697233664074</v>
      </c>
      <c r="I555" s="86">
        <v>65.06364049290606</v>
      </c>
      <c r="J555" s="86">
        <v>8132.9550616132574</v>
      </c>
      <c r="K555" s="86">
        <v>0.55857517380826527</v>
      </c>
      <c r="L555" s="87">
        <v>26874577.370370153</v>
      </c>
      <c r="M555" s="88">
        <v>302301.20776569343</v>
      </c>
      <c r="N555" s="88">
        <v>420233.17333333346</v>
      </c>
      <c r="O555" s="89">
        <v>57.48395428291272</v>
      </c>
      <c r="P555" s="88">
        <v>26874577.370370153</v>
      </c>
      <c r="Q555" s="88">
        <v>302301.20776569343</v>
      </c>
      <c r="R555" s="88">
        <v>420233.17333333346</v>
      </c>
      <c r="S555" s="86">
        <v>57.48395428291272</v>
      </c>
      <c r="T555" s="87">
        <v>53749154.740740307</v>
      </c>
      <c r="U555" s="119"/>
      <c r="V555" s="90">
        <v>1</v>
      </c>
      <c r="W555" s="91">
        <v>1</v>
      </c>
      <c r="X555" s="91">
        <v>1</v>
      </c>
      <c r="Y555" s="91">
        <v>1</v>
      </c>
      <c r="Z555" s="91">
        <v>1</v>
      </c>
      <c r="AA555" s="92">
        <v>1</v>
      </c>
      <c r="AB555" s="91">
        <v>1</v>
      </c>
      <c r="AC555" s="91">
        <v>1</v>
      </c>
      <c r="AD555" s="91">
        <v>1</v>
      </c>
      <c r="AE555" s="91">
        <v>1</v>
      </c>
      <c r="AF555" s="90">
        <v>1</v>
      </c>
      <c r="AG555" s="91">
        <v>1</v>
      </c>
      <c r="AH555" s="91">
        <v>1</v>
      </c>
      <c r="AI555" s="91">
        <v>1</v>
      </c>
      <c r="AJ555" s="91">
        <v>1</v>
      </c>
      <c r="AK555" s="210">
        <f t="shared" si="90"/>
        <v>68.680469715698393</v>
      </c>
      <c r="AL555" s="146"/>
      <c r="AM555" s="94"/>
      <c r="AN555" s="95"/>
      <c r="AO555" s="91" t="str">
        <f>IF(head!$F$82="S460","a0","a")</f>
        <v>a</v>
      </c>
      <c r="AP555" s="91">
        <f t="shared" si="85"/>
        <v>0.21</v>
      </c>
      <c r="AQ555" s="96">
        <f>IF(head!F$82="S235",235,IF(head!F$82="S275",275,IF(head!F$82="S355",355,IF(head!F$82="S420",420,460))))^0.5*head!$G$70*1000/(S555*3.1416*210000^0.5)</f>
        <v>2.2767062804585985</v>
      </c>
      <c r="AR555" s="96">
        <f t="shared" si="86"/>
        <v>3.3097499031879662</v>
      </c>
      <c r="AS555" s="96">
        <f t="shared" si="87"/>
        <v>0.17506844975322952</v>
      </c>
      <c r="AT555" s="50">
        <f>IF(head!F$82="S235",235,IF(head!F$82="S275",275,IF(head!F$82="S355",355,IF(head!F$82="S420",420,460))))*AS555*J555/1000</f>
        <v>505.45746126500654</v>
      </c>
      <c r="AU555" s="207" t="s">
        <v>47</v>
      </c>
      <c r="AV555" s="208" t="s">
        <v>47</v>
      </c>
      <c r="AW555" s="208" t="s">
        <v>47</v>
      </c>
      <c r="AX555" s="209" t="s">
        <v>47</v>
      </c>
      <c r="AY555" s="208" t="s">
        <v>47</v>
      </c>
      <c r="AZ555" s="197">
        <v>0</v>
      </c>
      <c r="BA555" s="97" t="str">
        <f t="shared" si="88"/>
        <v>HF CHS 177,8 x 20</v>
      </c>
    </row>
    <row r="556" spans="1:53">
      <c r="A556" s="82" t="s">
        <v>669</v>
      </c>
      <c r="B556" s="83">
        <f t="shared" si="89"/>
        <v>591.29088104108416</v>
      </c>
      <c r="C556" s="84">
        <v>177.8</v>
      </c>
      <c r="D556" s="84"/>
      <c r="E556" s="125" t="s">
        <v>833</v>
      </c>
      <c r="F556" s="84"/>
      <c r="G556" s="84"/>
      <c r="H556" s="85">
        <v>77.831701355625682</v>
      </c>
      <c r="I556" s="86">
        <v>79.318931317835094</v>
      </c>
      <c r="J556" s="86">
        <v>9914.8664147293875</v>
      </c>
      <c r="K556" s="86">
        <v>0.55857517380826527</v>
      </c>
      <c r="L556" s="87">
        <v>31356806.097555242</v>
      </c>
      <c r="M556" s="88">
        <v>352719.97860017145</v>
      </c>
      <c r="N556" s="88">
        <v>500683.46666666679</v>
      </c>
      <c r="O556" s="89">
        <v>56.237042952132548</v>
      </c>
      <c r="P556" s="88">
        <v>31356806.097555242</v>
      </c>
      <c r="Q556" s="88">
        <v>352719.97860017145</v>
      </c>
      <c r="R556" s="88">
        <v>500683.46666666679</v>
      </c>
      <c r="S556" s="86">
        <v>56.237042952132548</v>
      </c>
      <c r="T556" s="87">
        <v>62713612.195110485</v>
      </c>
      <c r="U556" s="119"/>
      <c r="V556" s="90">
        <v>1</v>
      </c>
      <c r="W556" s="91">
        <v>1</v>
      </c>
      <c r="X556" s="91">
        <v>1</v>
      </c>
      <c r="Y556" s="91">
        <v>1</v>
      </c>
      <c r="Z556" s="91">
        <v>1</v>
      </c>
      <c r="AA556" s="92">
        <v>1</v>
      </c>
      <c r="AB556" s="91">
        <v>1</v>
      </c>
      <c r="AC556" s="91">
        <v>1</v>
      </c>
      <c r="AD556" s="91">
        <v>1</v>
      </c>
      <c r="AE556" s="91">
        <v>1</v>
      </c>
      <c r="AF556" s="90">
        <v>1</v>
      </c>
      <c r="AG556" s="91">
        <v>1</v>
      </c>
      <c r="AH556" s="91">
        <v>1</v>
      </c>
      <c r="AI556" s="91">
        <v>1</v>
      </c>
      <c r="AJ556" s="91">
        <v>1</v>
      </c>
      <c r="AK556" s="210">
        <f t="shared" si="90"/>
        <v>56.337135614702156</v>
      </c>
      <c r="AL556" s="146"/>
      <c r="AM556" s="94"/>
      <c r="AN556" s="95"/>
      <c r="AO556" s="91" t="str">
        <f>IF(head!$F$82="S460","a0","a")</f>
        <v>a</v>
      </c>
      <c r="AP556" s="91">
        <f t="shared" si="85"/>
        <v>0.21</v>
      </c>
      <c r="AQ556" s="96">
        <f>IF(head!F$82="S235",235,IF(head!F$82="S275",275,IF(head!F$82="S355",355,IF(head!F$82="S420",420,460))))^0.5*head!$G$70*1000/(S556*3.1416*210000^0.5)</f>
        <v>2.3271863681185874</v>
      </c>
      <c r="AR556" s="96">
        <f t="shared" si="86"/>
        <v>3.4312527646309423</v>
      </c>
      <c r="AS556" s="96">
        <f t="shared" si="87"/>
        <v>0.1679909789943598</v>
      </c>
      <c r="AT556" s="50">
        <f>IF(head!F$82="S235",235,IF(head!F$82="S275",275,IF(head!F$82="S355",355,IF(head!F$82="S420",420,460))))*AS556*J556/1000</f>
        <v>591.29088104108416</v>
      </c>
      <c r="AU556" s="207" t="s">
        <v>47</v>
      </c>
      <c r="AV556" s="208" t="s">
        <v>47</v>
      </c>
      <c r="AW556" s="208" t="s">
        <v>47</v>
      </c>
      <c r="AX556" s="209" t="s">
        <v>47</v>
      </c>
      <c r="AY556" s="208" t="s">
        <v>47</v>
      </c>
      <c r="AZ556" s="197">
        <v>0</v>
      </c>
      <c r="BA556" s="97" t="str">
        <f t="shared" si="88"/>
        <v>HF CHS 193,7 x 5,6</v>
      </c>
    </row>
    <row r="557" spans="1:53">
      <c r="A557" s="82" t="s">
        <v>670</v>
      </c>
      <c r="B557" s="83">
        <f t="shared" si="89"/>
        <v>269.99279754448861</v>
      </c>
      <c r="C557" s="84">
        <v>193.7</v>
      </c>
      <c r="D557" s="84"/>
      <c r="E557" s="125" t="s">
        <v>823</v>
      </c>
      <c r="F557" s="84"/>
      <c r="G557" s="84"/>
      <c r="H557" s="85">
        <v>25.977440095044926</v>
      </c>
      <c r="I557" s="86">
        <v>26.473824300682729</v>
      </c>
      <c r="J557" s="86">
        <v>3309.2280375853406</v>
      </c>
      <c r="K557" s="86">
        <v>0.60852649700034289</v>
      </c>
      <c r="L557" s="87">
        <v>14648699.15227106</v>
      </c>
      <c r="M557" s="88">
        <v>151251.41096820921</v>
      </c>
      <c r="N557" s="88">
        <v>198195.55466666649</v>
      </c>
      <c r="O557" s="89">
        <v>66.532858423488747</v>
      </c>
      <c r="P557" s="88">
        <v>14648699.15227106</v>
      </c>
      <c r="Q557" s="88">
        <v>151251.41096820921</v>
      </c>
      <c r="R557" s="88">
        <v>198195.55466666649</v>
      </c>
      <c r="S557" s="86">
        <v>66.532858423488747</v>
      </c>
      <c r="T557" s="87">
        <v>29297398.304542121</v>
      </c>
      <c r="U557" s="119"/>
      <c r="V557" s="90">
        <v>1</v>
      </c>
      <c r="W557" s="91">
        <v>1</v>
      </c>
      <c r="X557" s="91">
        <v>2</v>
      </c>
      <c r="Y557" s="91">
        <v>2</v>
      </c>
      <c r="Z557" s="91">
        <v>2</v>
      </c>
      <c r="AA557" s="92">
        <v>1</v>
      </c>
      <c r="AB557" s="91">
        <v>2</v>
      </c>
      <c r="AC557" s="91">
        <v>3</v>
      </c>
      <c r="AD557" s="91">
        <v>3</v>
      </c>
      <c r="AE557" s="91">
        <v>4</v>
      </c>
      <c r="AF557" s="90">
        <v>1</v>
      </c>
      <c r="AG557" s="91">
        <v>2</v>
      </c>
      <c r="AH557" s="91">
        <v>3</v>
      </c>
      <c r="AI557" s="91">
        <v>3</v>
      </c>
      <c r="AJ557" s="91">
        <v>4</v>
      </c>
      <c r="AK557" s="210">
        <f t="shared" si="90"/>
        <v>183.88774967722358</v>
      </c>
      <c r="AL557" s="146"/>
      <c r="AM557" s="94"/>
      <c r="AN557" s="95"/>
      <c r="AO557" s="91" t="str">
        <f>IF(head!$F$82="S460","a0","a")</f>
        <v>a</v>
      </c>
      <c r="AP557" s="91">
        <f t="shared" si="85"/>
        <v>0.21</v>
      </c>
      <c r="AQ557" s="96">
        <f>IF(head!F$82="S235",235,IF(head!F$82="S275",275,IF(head!F$82="S355",355,IF(head!F$82="S420",420,460))))^0.5*head!$G$70*1000/(S557*3.1416*210000^0.5)</f>
        <v>1.9670593274149573</v>
      </c>
      <c r="AR557" s="96">
        <f t="shared" si="86"/>
        <v>2.6202024281636627</v>
      </c>
      <c r="AS557" s="96">
        <f t="shared" si="87"/>
        <v>0.22982492685199321</v>
      </c>
      <c r="AT557" s="50">
        <f>IF(head!F$82="S235",235,IF(head!F$82="S275",275,IF(head!F$82="S355",355,IF(head!F$82="S420",420,460))))*AS557*J557/1000</f>
        <v>269.99279754448861</v>
      </c>
      <c r="AU557" s="207" t="s">
        <v>47</v>
      </c>
      <c r="AV557" s="208" t="s">
        <v>47</v>
      </c>
      <c r="AW557" s="208" t="s">
        <v>47</v>
      </c>
      <c r="AX557" s="209" t="s">
        <v>47</v>
      </c>
      <c r="AY557" s="208" t="s">
        <v>47</v>
      </c>
      <c r="AZ557" s="197">
        <v>0</v>
      </c>
      <c r="BA557" s="97" t="str">
        <f t="shared" si="88"/>
        <v>HF CHS 193,7 x 6,3</v>
      </c>
    </row>
    <row r="558" spans="1:53">
      <c r="A558" s="82" t="s">
        <v>671</v>
      </c>
      <c r="B558" s="83">
        <f t="shared" si="89"/>
        <v>300.60835320752557</v>
      </c>
      <c r="C558" s="84">
        <v>193.7</v>
      </c>
      <c r="D558" s="84"/>
      <c r="E558" s="125" t="s">
        <v>824</v>
      </c>
      <c r="F558" s="84"/>
      <c r="G558" s="84"/>
      <c r="H558" s="85">
        <v>29.115862881647249</v>
      </c>
      <c r="I558" s="86">
        <v>29.672216949449425</v>
      </c>
      <c r="J558" s="86">
        <v>3709.0271186811783</v>
      </c>
      <c r="K558" s="86">
        <v>0.60852649700034289</v>
      </c>
      <c r="L558" s="87">
        <v>16300455.562599523</v>
      </c>
      <c r="M558" s="88">
        <v>168306.20095611279</v>
      </c>
      <c r="N558" s="88">
        <v>221331.53699999987</v>
      </c>
      <c r="O558" s="89">
        <v>66.293334883681908</v>
      </c>
      <c r="P558" s="88">
        <v>16300455.562599523</v>
      </c>
      <c r="Q558" s="88">
        <v>168306.20095611279</v>
      </c>
      <c r="R558" s="88">
        <v>221331.53699999987</v>
      </c>
      <c r="S558" s="86">
        <v>66.293334883681908</v>
      </c>
      <c r="T558" s="87">
        <v>32600911.125199046</v>
      </c>
      <c r="U558" s="119"/>
      <c r="V558" s="90">
        <v>1</v>
      </c>
      <c r="W558" s="91">
        <v>1</v>
      </c>
      <c r="X558" s="91">
        <v>1</v>
      </c>
      <c r="Y558" s="91">
        <v>2</v>
      </c>
      <c r="Z558" s="91">
        <v>2</v>
      </c>
      <c r="AA558" s="92">
        <v>1</v>
      </c>
      <c r="AB558" s="91">
        <v>1</v>
      </c>
      <c r="AC558" s="91">
        <v>2</v>
      </c>
      <c r="AD558" s="91">
        <v>3</v>
      </c>
      <c r="AE558" s="91">
        <v>3</v>
      </c>
      <c r="AF558" s="90">
        <v>1</v>
      </c>
      <c r="AG558" s="91">
        <v>1</v>
      </c>
      <c r="AH558" s="91">
        <v>2</v>
      </c>
      <c r="AI558" s="91">
        <v>3</v>
      </c>
      <c r="AJ558" s="91">
        <v>3</v>
      </c>
      <c r="AK558" s="210">
        <f t="shared" si="90"/>
        <v>164.06633802578318</v>
      </c>
      <c r="AL558" s="146"/>
      <c r="AM558" s="94"/>
      <c r="AN558" s="95"/>
      <c r="AO558" s="91" t="str">
        <f>IF(head!$F$82="S460","a0","a")</f>
        <v>a</v>
      </c>
      <c r="AP558" s="91">
        <f t="shared" si="85"/>
        <v>0.21</v>
      </c>
      <c r="AQ558" s="96">
        <f>IF(head!F$82="S235",235,IF(head!F$82="S275",275,IF(head!F$82="S355",355,IF(head!F$82="S420",420,460))))^0.5*head!$G$70*1000/(S558*3.1416*210000^0.5)</f>
        <v>1.9741664825149261</v>
      </c>
      <c r="AR558" s="96">
        <f t="shared" si="86"/>
        <v>2.6349541310067455</v>
      </c>
      <c r="AS558" s="96">
        <f t="shared" si="87"/>
        <v>0.22830355951762824</v>
      </c>
      <c r="AT558" s="50">
        <f>IF(head!F$82="S235",235,IF(head!F$82="S275",275,IF(head!F$82="S355",355,IF(head!F$82="S420",420,460))))*AS558*J558/1000</f>
        <v>300.60835320752557</v>
      </c>
      <c r="AU558" s="207" t="s">
        <v>47</v>
      </c>
      <c r="AV558" s="208" t="s">
        <v>47</v>
      </c>
      <c r="AW558" s="208" t="s">
        <v>47</v>
      </c>
      <c r="AX558" s="209" t="s">
        <v>47</v>
      </c>
      <c r="AY558" s="208" t="s">
        <v>47</v>
      </c>
      <c r="AZ558" s="197">
        <v>0</v>
      </c>
      <c r="BA558" s="97" t="str">
        <f t="shared" si="88"/>
        <v>HF CHS 193,7 x 7,1</v>
      </c>
    </row>
    <row r="559" spans="1:53">
      <c r="A559" s="82" t="s">
        <v>672</v>
      </c>
      <c r="B559" s="83">
        <f t="shared" si="89"/>
        <v>334.78347768261841</v>
      </c>
      <c r="C559" s="84">
        <v>193.7</v>
      </c>
      <c r="D559" s="84"/>
      <c r="E559" s="125" t="s">
        <v>825</v>
      </c>
      <c r="F559" s="84"/>
      <c r="G559" s="84"/>
      <c r="H559" s="85">
        <v>32.673037977824507</v>
      </c>
      <c r="I559" s="86">
        <v>33.297363544279754</v>
      </c>
      <c r="J559" s="86">
        <v>4162.1704430349691</v>
      </c>
      <c r="K559" s="86">
        <v>0.60852649700034289</v>
      </c>
      <c r="L559" s="87">
        <v>18141844.810439505</v>
      </c>
      <c r="M559" s="88">
        <v>187318.99649395462</v>
      </c>
      <c r="N559" s="88">
        <v>247338.17966666646</v>
      </c>
      <c r="O559" s="89">
        <v>66.020801646147845</v>
      </c>
      <c r="P559" s="88">
        <v>18141844.810439505</v>
      </c>
      <c r="Q559" s="88">
        <v>187318.99649395462</v>
      </c>
      <c r="R559" s="88">
        <v>247338.17966666646</v>
      </c>
      <c r="S559" s="86">
        <v>66.020801646147845</v>
      </c>
      <c r="T559" s="87">
        <v>36283689.620879009</v>
      </c>
      <c r="U559" s="119"/>
      <c r="V559" s="90">
        <v>1</v>
      </c>
      <c r="W559" s="91">
        <v>1</v>
      </c>
      <c r="X559" s="91">
        <v>1</v>
      </c>
      <c r="Y559" s="91">
        <v>1</v>
      </c>
      <c r="Z559" s="91">
        <v>2</v>
      </c>
      <c r="AA559" s="92">
        <v>1</v>
      </c>
      <c r="AB559" s="91">
        <v>1</v>
      </c>
      <c r="AC559" s="91">
        <v>2</v>
      </c>
      <c r="AD559" s="91">
        <v>2</v>
      </c>
      <c r="AE559" s="91">
        <v>3</v>
      </c>
      <c r="AF559" s="90">
        <v>1</v>
      </c>
      <c r="AG559" s="91">
        <v>1</v>
      </c>
      <c r="AH559" s="91">
        <v>2</v>
      </c>
      <c r="AI559" s="91">
        <v>2</v>
      </c>
      <c r="AJ559" s="91">
        <v>3</v>
      </c>
      <c r="AK559" s="210">
        <f t="shared" si="90"/>
        <v>146.20412722853752</v>
      </c>
      <c r="AL559" s="146"/>
      <c r="AM559" s="94"/>
      <c r="AN559" s="95"/>
      <c r="AO559" s="91" t="str">
        <f>IF(head!$F$82="S460","a0","a")</f>
        <v>a</v>
      </c>
      <c r="AP559" s="91">
        <f t="shared" si="85"/>
        <v>0.21</v>
      </c>
      <c r="AQ559" s="96">
        <f>IF(head!F$82="S235",235,IF(head!F$82="S275",275,IF(head!F$82="S355",355,IF(head!F$82="S420",420,460))))^0.5*head!$G$70*1000/(S559*3.1416*210000^0.5)</f>
        <v>1.9823158228666939</v>
      </c>
      <c r="AR559" s="96">
        <f t="shared" si="86"/>
        <v>2.651931172194832</v>
      </c>
      <c r="AS559" s="96">
        <f t="shared" si="87"/>
        <v>0.22657698975021756</v>
      </c>
      <c r="AT559" s="50">
        <f>IF(head!F$82="S235",235,IF(head!F$82="S275",275,IF(head!F$82="S355",355,IF(head!F$82="S420",420,460))))*AS559*J559/1000</f>
        <v>334.78347768261841</v>
      </c>
      <c r="AU559" s="207" t="s">
        <v>47</v>
      </c>
      <c r="AV559" s="208" t="s">
        <v>47</v>
      </c>
      <c r="AW559" s="208" t="s">
        <v>47</v>
      </c>
      <c r="AX559" s="209" t="s">
        <v>47</v>
      </c>
      <c r="AY559" s="208" t="s">
        <v>47</v>
      </c>
      <c r="AZ559" s="197">
        <v>0</v>
      </c>
      <c r="BA559" s="97" t="str">
        <f t="shared" si="88"/>
        <v>HF CHS 193,7 x 8</v>
      </c>
    </row>
    <row r="560" spans="1:53">
      <c r="A560" s="82" t="s">
        <v>673</v>
      </c>
      <c r="B560" s="83">
        <f t="shared" si="89"/>
        <v>372.2089653415826</v>
      </c>
      <c r="C560" s="84">
        <v>193.7</v>
      </c>
      <c r="D560" s="84"/>
      <c r="E560" s="125" t="s">
        <v>826</v>
      </c>
      <c r="F560" s="84"/>
      <c r="G560" s="84"/>
      <c r="H560" s="85">
        <v>36.637127862458001</v>
      </c>
      <c r="I560" s="86">
        <v>37.33720036938395</v>
      </c>
      <c r="J560" s="86">
        <v>4667.1500461729947</v>
      </c>
      <c r="K560" s="86">
        <v>0.60852649700034289</v>
      </c>
      <c r="L560" s="87">
        <v>20155373.337338399</v>
      </c>
      <c r="M560" s="88">
        <v>208109.17230086113</v>
      </c>
      <c r="N560" s="88">
        <v>276046.58666666661</v>
      </c>
      <c r="O560" s="89">
        <v>65.715761047103442</v>
      </c>
      <c r="P560" s="88">
        <v>20155373.337338399</v>
      </c>
      <c r="Q560" s="88">
        <v>208109.17230086113</v>
      </c>
      <c r="R560" s="88">
        <v>276046.58666666661</v>
      </c>
      <c r="S560" s="86">
        <v>65.715761047103442</v>
      </c>
      <c r="T560" s="87">
        <v>40310746.674676798</v>
      </c>
      <c r="U560" s="119"/>
      <c r="V560" s="90">
        <v>1</v>
      </c>
      <c r="W560" s="91">
        <v>1</v>
      </c>
      <c r="X560" s="91">
        <v>1</v>
      </c>
      <c r="Y560" s="91">
        <v>1</v>
      </c>
      <c r="Z560" s="91">
        <v>1</v>
      </c>
      <c r="AA560" s="92">
        <v>1</v>
      </c>
      <c r="AB560" s="91">
        <v>1</v>
      </c>
      <c r="AC560" s="91">
        <v>2</v>
      </c>
      <c r="AD560" s="91">
        <v>2</v>
      </c>
      <c r="AE560" s="91">
        <v>2</v>
      </c>
      <c r="AF560" s="90">
        <v>1</v>
      </c>
      <c r="AG560" s="91">
        <v>1</v>
      </c>
      <c r="AH560" s="91">
        <v>2</v>
      </c>
      <c r="AI560" s="91">
        <v>2</v>
      </c>
      <c r="AJ560" s="91">
        <v>2</v>
      </c>
      <c r="AK560" s="210">
        <f t="shared" si="90"/>
        <v>130.38502961766295</v>
      </c>
      <c r="AL560" s="146"/>
      <c r="AM560" s="94"/>
      <c r="AN560" s="95"/>
      <c r="AO560" s="91" t="str">
        <f>IF(head!$F$82="S460","a0","a")</f>
        <v>a</v>
      </c>
      <c r="AP560" s="91">
        <f t="shared" si="85"/>
        <v>0.21</v>
      </c>
      <c r="AQ560" s="96">
        <f>IF(head!F$82="S235",235,IF(head!F$82="S275",275,IF(head!F$82="S355",355,IF(head!F$82="S420",420,460))))^0.5*head!$G$70*1000/(S560*3.1416*210000^0.5)</f>
        <v>1.9915173720303569</v>
      </c>
      <c r="AR560" s="96">
        <f t="shared" si="86"/>
        <v>2.671180045612537</v>
      </c>
      <c r="AS560" s="96">
        <f t="shared" si="87"/>
        <v>0.22465015016357159</v>
      </c>
      <c r="AT560" s="50">
        <f>IF(head!F$82="S235",235,IF(head!F$82="S275",275,IF(head!F$82="S355",355,IF(head!F$82="S420",420,460))))*AS560*J560/1000</f>
        <v>372.2089653415826</v>
      </c>
      <c r="AU560" s="207" t="s">
        <v>47</v>
      </c>
      <c r="AV560" s="208" t="s">
        <v>47</v>
      </c>
      <c r="AW560" s="208" t="s">
        <v>47</v>
      </c>
      <c r="AX560" s="209" t="s">
        <v>47</v>
      </c>
      <c r="AY560" s="208" t="s">
        <v>47</v>
      </c>
      <c r="AZ560" s="197">
        <v>0</v>
      </c>
      <c r="BA560" s="97" t="str">
        <f t="shared" si="88"/>
        <v>HF CHS 193,7 x 8,8</v>
      </c>
    </row>
    <row r="561" spans="1:53">
      <c r="A561" s="82" t="s">
        <v>674</v>
      </c>
      <c r="B561" s="83">
        <f t="shared" si="89"/>
        <v>404.58317300019314</v>
      </c>
      <c r="C561" s="84">
        <v>193.7</v>
      </c>
      <c r="D561" s="84"/>
      <c r="E561" s="125" t="s">
        <v>827</v>
      </c>
      <c r="F561" s="84"/>
      <c r="G561" s="84"/>
      <c r="H561" s="85">
        <v>40.127223672295806</v>
      </c>
      <c r="I561" s="86">
        <v>40.89398590807216</v>
      </c>
      <c r="J561" s="86">
        <v>5111.7482385090207</v>
      </c>
      <c r="K561" s="86">
        <v>0.60852649700034289</v>
      </c>
      <c r="L561" s="87">
        <v>21894544.209902361</v>
      </c>
      <c r="M561" s="88">
        <v>226066.5380475205</v>
      </c>
      <c r="N561" s="88">
        <v>301081.64533333323</v>
      </c>
      <c r="O561" s="89">
        <v>65.446017831492227</v>
      </c>
      <c r="P561" s="88">
        <v>21894544.209902361</v>
      </c>
      <c r="Q561" s="88">
        <v>226066.5380475205</v>
      </c>
      <c r="R561" s="88">
        <v>301081.64533333323</v>
      </c>
      <c r="S561" s="86">
        <v>65.446017831492227</v>
      </c>
      <c r="T561" s="87">
        <v>43789088.419804722</v>
      </c>
      <c r="U561" s="119"/>
      <c r="V561" s="90">
        <v>1</v>
      </c>
      <c r="W561" s="91">
        <v>1</v>
      </c>
      <c r="X561" s="91">
        <v>1</v>
      </c>
      <c r="Y561" s="91">
        <v>1</v>
      </c>
      <c r="Z561" s="91">
        <v>1</v>
      </c>
      <c r="AA561" s="92">
        <v>1</v>
      </c>
      <c r="AB561" s="91">
        <v>1</v>
      </c>
      <c r="AC561" s="91">
        <v>1</v>
      </c>
      <c r="AD561" s="91">
        <v>2</v>
      </c>
      <c r="AE561" s="91">
        <v>2</v>
      </c>
      <c r="AF561" s="90">
        <v>1</v>
      </c>
      <c r="AG561" s="91">
        <v>1</v>
      </c>
      <c r="AH561" s="91">
        <v>1</v>
      </c>
      <c r="AI561" s="91">
        <v>2</v>
      </c>
      <c r="AJ561" s="91">
        <v>2</v>
      </c>
      <c r="AK561" s="210">
        <f t="shared" si="90"/>
        <v>119.04469246275636</v>
      </c>
      <c r="AL561" s="146"/>
      <c r="AM561" s="94"/>
      <c r="AN561" s="95"/>
      <c r="AO561" s="91" t="str">
        <f>IF(head!$F$82="S460","a0","a")</f>
        <v>a</v>
      </c>
      <c r="AP561" s="91">
        <f t="shared" si="85"/>
        <v>0.21</v>
      </c>
      <c r="AQ561" s="96">
        <f>IF(head!F$82="S235",235,IF(head!F$82="S275",275,IF(head!F$82="S355",355,IF(head!F$82="S420",420,460))))^0.5*head!$G$70*1000/(S561*3.1416*210000^0.5)</f>
        <v>1.9997256376770192</v>
      </c>
      <c r="AR561" s="96">
        <f t="shared" si="86"/>
        <v>2.6884225049474675</v>
      </c>
      <c r="AS561" s="96">
        <f t="shared" si="87"/>
        <v>0.22295129898496618</v>
      </c>
      <c r="AT561" s="50">
        <f>IF(head!F$82="S235",235,IF(head!F$82="S275",275,IF(head!F$82="S355",355,IF(head!F$82="S420",420,460))))*AS561*J561/1000</f>
        <v>404.58317300019314</v>
      </c>
      <c r="AU561" s="207" t="s">
        <v>47</v>
      </c>
      <c r="AV561" s="208" t="s">
        <v>47</v>
      </c>
      <c r="AW561" s="208" t="s">
        <v>47</v>
      </c>
      <c r="AX561" s="209" t="s">
        <v>47</v>
      </c>
      <c r="AY561" s="208" t="s">
        <v>47</v>
      </c>
      <c r="AZ561" s="197">
        <v>0</v>
      </c>
      <c r="BA561" s="97" t="str">
        <f t="shared" si="88"/>
        <v>HF CHS 193,7 x 10</v>
      </c>
    </row>
    <row r="562" spans="1:53">
      <c r="A562" s="82" t="s">
        <v>675</v>
      </c>
      <c r="B562" s="83">
        <f t="shared" si="89"/>
        <v>451.59957748437643</v>
      </c>
      <c r="C562" s="84">
        <v>193.7</v>
      </c>
      <c r="D562" s="84"/>
      <c r="E562" s="125" t="s">
        <v>828</v>
      </c>
      <c r="F562" s="84"/>
      <c r="G562" s="84"/>
      <c r="H562" s="85">
        <v>45.303179781458937</v>
      </c>
      <c r="I562" s="86">
        <v>46.168845637155606</v>
      </c>
      <c r="J562" s="86">
        <v>5771.1057046444503</v>
      </c>
      <c r="K562" s="86">
        <v>0.60852649700034289</v>
      </c>
      <c r="L562" s="87">
        <v>24415881.829578437</v>
      </c>
      <c r="M562" s="88">
        <v>252099.96726461992</v>
      </c>
      <c r="N562" s="88">
        <v>337790.2333333334</v>
      </c>
      <c r="O562" s="89">
        <v>65.043917855553545</v>
      </c>
      <c r="P562" s="88">
        <v>24415881.829578437</v>
      </c>
      <c r="Q562" s="88">
        <v>252099.96726461992</v>
      </c>
      <c r="R562" s="88">
        <v>337790.2333333334</v>
      </c>
      <c r="S562" s="86">
        <v>65.043917855553545</v>
      </c>
      <c r="T562" s="87">
        <v>48831763.659156874</v>
      </c>
      <c r="U562" s="119"/>
      <c r="V562" s="90">
        <v>1</v>
      </c>
      <c r="W562" s="91">
        <v>1</v>
      </c>
      <c r="X562" s="91">
        <v>1</v>
      </c>
      <c r="Y562" s="91">
        <v>1</v>
      </c>
      <c r="Z562" s="91">
        <v>1</v>
      </c>
      <c r="AA562" s="92">
        <v>1</v>
      </c>
      <c r="AB562" s="91">
        <v>1</v>
      </c>
      <c r="AC562" s="91">
        <v>1</v>
      </c>
      <c r="AD562" s="91">
        <v>1</v>
      </c>
      <c r="AE562" s="91">
        <v>2</v>
      </c>
      <c r="AF562" s="90">
        <v>1</v>
      </c>
      <c r="AG562" s="91">
        <v>1</v>
      </c>
      <c r="AH562" s="91">
        <v>1</v>
      </c>
      <c r="AI562" s="91">
        <v>1</v>
      </c>
      <c r="AJ562" s="91">
        <v>2</v>
      </c>
      <c r="AK562" s="210">
        <f t="shared" si="90"/>
        <v>105.4436581382689</v>
      </c>
      <c r="AL562" s="146"/>
      <c r="AM562" s="94"/>
      <c r="AN562" s="95"/>
      <c r="AO562" s="91" t="str">
        <f>IF(head!$F$82="S460","a0","a")</f>
        <v>a</v>
      </c>
      <c r="AP562" s="91">
        <f t="shared" si="85"/>
        <v>0.21</v>
      </c>
      <c r="AQ562" s="96">
        <f>IF(head!F$82="S235",235,IF(head!F$82="S275",275,IF(head!F$82="S355",355,IF(head!F$82="S420",420,460))))^0.5*head!$G$70*1000/(S562*3.1416*210000^0.5)</f>
        <v>2.0120878947074088</v>
      </c>
      <c r="AR562" s="96">
        <f t="shared" si="86"/>
        <v>2.7145180769583241</v>
      </c>
      <c r="AS562" s="96">
        <f t="shared" si="87"/>
        <v>0.22042768768690504</v>
      </c>
      <c r="AT562" s="50">
        <f>IF(head!F$82="S235",235,IF(head!F$82="S275",275,IF(head!F$82="S355",355,IF(head!F$82="S420",420,460))))*AS562*J562/1000</f>
        <v>451.59957748437643</v>
      </c>
      <c r="AU562" s="207" t="s">
        <v>47</v>
      </c>
      <c r="AV562" s="208" t="s">
        <v>47</v>
      </c>
      <c r="AW562" s="208" t="s">
        <v>47</v>
      </c>
      <c r="AX562" s="209" t="s">
        <v>47</v>
      </c>
      <c r="AY562" s="208" t="s">
        <v>47</v>
      </c>
      <c r="AZ562" s="197">
        <v>0</v>
      </c>
      <c r="BA562" s="97" t="str">
        <f t="shared" si="88"/>
        <v>HF CHS 193,7 x 12,5</v>
      </c>
    </row>
    <row r="563" spans="1:53">
      <c r="A563" s="82" t="s">
        <v>676</v>
      </c>
      <c r="B563" s="83">
        <f t="shared" si="89"/>
        <v>543.77849483354044</v>
      </c>
      <c r="C563" s="84">
        <v>193.7</v>
      </c>
      <c r="D563" s="84"/>
      <c r="E563" s="125" t="s">
        <v>829</v>
      </c>
      <c r="F563" s="84"/>
      <c r="G563" s="84"/>
      <c r="H563" s="85">
        <v>55.858302778989916</v>
      </c>
      <c r="I563" s="86">
        <v>56.925658883047049</v>
      </c>
      <c r="J563" s="86">
        <v>7115.7073603808813</v>
      </c>
      <c r="K563" s="86">
        <v>0.60852649700034289</v>
      </c>
      <c r="L563" s="87">
        <v>29343122.493710436</v>
      </c>
      <c r="M563" s="88">
        <v>302974.93540227605</v>
      </c>
      <c r="N563" s="88">
        <v>411069.04166666669</v>
      </c>
      <c r="O563" s="89">
        <v>64.21612920442962</v>
      </c>
      <c r="P563" s="88">
        <v>29343122.493710436</v>
      </c>
      <c r="Q563" s="88">
        <v>302974.93540227605</v>
      </c>
      <c r="R563" s="88">
        <v>411069.04166666669</v>
      </c>
      <c r="S563" s="86">
        <v>64.21612920442962</v>
      </c>
      <c r="T563" s="87">
        <v>58686244.987420872</v>
      </c>
      <c r="U563" s="119"/>
      <c r="V563" s="90">
        <v>1</v>
      </c>
      <c r="W563" s="91">
        <v>1</v>
      </c>
      <c r="X563" s="91">
        <v>1</v>
      </c>
      <c r="Y563" s="91">
        <v>1</v>
      </c>
      <c r="Z563" s="91">
        <v>1</v>
      </c>
      <c r="AA563" s="92">
        <v>1</v>
      </c>
      <c r="AB563" s="91">
        <v>1</v>
      </c>
      <c r="AC563" s="91">
        <v>1</v>
      </c>
      <c r="AD563" s="91">
        <v>1</v>
      </c>
      <c r="AE563" s="91">
        <v>1</v>
      </c>
      <c r="AF563" s="90">
        <v>1</v>
      </c>
      <c r="AG563" s="91">
        <v>1</v>
      </c>
      <c r="AH563" s="91">
        <v>1</v>
      </c>
      <c r="AI563" s="91">
        <v>1</v>
      </c>
      <c r="AJ563" s="91">
        <v>1</v>
      </c>
      <c r="AK563" s="210">
        <f t="shared" si="90"/>
        <v>85.518763796909482</v>
      </c>
      <c r="AL563" s="146"/>
      <c r="AM563" s="94"/>
      <c r="AN563" s="95"/>
      <c r="AO563" s="91" t="str">
        <f>IF(head!$F$82="S460","a0","a")</f>
        <v>a</v>
      </c>
      <c r="AP563" s="91">
        <f t="shared" si="85"/>
        <v>0.21</v>
      </c>
      <c r="AQ563" s="96">
        <f>IF(head!F$82="S235",235,IF(head!F$82="S275",275,IF(head!F$82="S355",355,IF(head!F$82="S420",420,460))))^0.5*head!$G$70*1000/(S563*3.1416*210000^0.5)</f>
        <v>2.03802504702315</v>
      </c>
      <c r="AR563" s="96">
        <f t="shared" si="86"/>
        <v>2.7697656760842868</v>
      </c>
      <c r="AS563" s="96">
        <f t="shared" si="87"/>
        <v>0.21526607692025904</v>
      </c>
      <c r="AT563" s="50">
        <f>IF(head!F$82="S235",235,IF(head!F$82="S275",275,IF(head!F$82="S355",355,IF(head!F$82="S420",420,460))))*AS563*J563/1000</f>
        <v>543.77849483354044</v>
      </c>
      <c r="AU563" s="207" t="s">
        <v>47</v>
      </c>
      <c r="AV563" s="208" t="s">
        <v>47</v>
      </c>
      <c r="AW563" s="208" t="s">
        <v>47</v>
      </c>
      <c r="AX563" s="209" t="s">
        <v>47</v>
      </c>
      <c r="AY563" s="208" t="s">
        <v>47</v>
      </c>
      <c r="AZ563" s="197">
        <v>0</v>
      </c>
      <c r="BA563" s="97" t="str">
        <f t="shared" si="88"/>
        <v>HF CHS 193,7 x 14,2</v>
      </c>
    </row>
    <row r="564" spans="1:53">
      <c r="A564" s="82" t="s">
        <v>677</v>
      </c>
      <c r="B564" s="83">
        <f t="shared" si="89"/>
        <v>602.17192715051306</v>
      </c>
      <c r="C564" s="84">
        <v>193.7</v>
      </c>
      <c r="D564" s="84"/>
      <c r="E564" s="125" t="s">
        <v>830</v>
      </c>
      <c r="F564" s="84"/>
      <c r="G564" s="84"/>
      <c r="H564" s="85">
        <v>62.859703290669948</v>
      </c>
      <c r="I564" s="86">
        <v>64.060844117880208</v>
      </c>
      <c r="J564" s="86">
        <v>8007.6055147350253</v>
      </c>
      <c r="K564" s="86">
        <v>0.60852649700034289</v>
      </c>
      <c r="L564" s="87">
        <v>32452713.145266533</v>
      </c>
      <c r="M564" s="88">
        <v>335082.22142763593</v>
      </c>
      <c r="N564" s="88">
        <v>458481.97933333338</v>
      </c>
      <c r="O564" s="89">
        <v>63.661104687242101</v>
      </c>
      <c r="P564" s="88">
        <v>32452713.145266533</v>
      </c>
      <c r="Q564" s="88">
        <v>335082.22142763593</v>
      </c>
      <c r="R564" s="88">
        <v>458481.97933333338</v>
      </c>
      <c r="S564" s="86">
        <v>63.661104687242101</v>
      </c>
      <c r="T564" s="87">
        <v>64905426.290533066</v>
      </c>
      <c r="U564" s="119"/>
      <c r="V564" s="90">
        <v>1</v>
      </c>
      <c r="W564" s="91">
        <v>1</v>
      </c>
      <c r="X564" s="91">
        <v>1</v>
      </c>
      <c r="Y564" s="91">
        <v>1</v>
      </c>
      <c r="Z564" s="91">
        <v>1</v>
      </c>
      <c r="AA564" s="92">
        <v>1</v>
      </c>
      <c r="AB564" s="91">
        <v>1</v>
      </c>
      <c r="AC564" s="91">
        <v>1</v>
      </c>
      <c r="AD564" s="91">
        <v>1</v>
      </c>
      <c r="AE564" s="91">
        <v>1</v>
      </c>
      <c r="AF564" s="90">
        <v>1</v>
      </c>
      <c r="AG564" s="91">
        <v>1</v>
      </c>
      <c r="AH564" s="91">
        <v>1</v>
      </c>
      <c r="AI564" s="91">
        <v>1</v>
      </c>
      <c r="AJ564" s="91">
        <v>1</v>
      </c>
      <c r="AK564" s="210">
        <f t="shared" si="90"/>
        <v>75.993565851936111</v>
      </c>
      <c r="AL564" s="146"/>
      <c r="AM564" s="94"/>
      <c r="AN564" s="95"/>
      <c r="AO564" s="91" t="str">
        <f>IF(head!$F$82="S460","a0","a")</f>
        <v>a</v>
      </c>
      <c r="AP564" s="91">
        <f t="shared" si="85"/>
        <v>0.21</v>
      </c>
      <c r="AQ564" s="96">
        <f>IF(head!F$82="S235",235,IF(head!F$82="S275",275,IF(head!F$82="S355",355,IF(head!F$82="S420",420,460))))^0.5*head!$G$70*1000/(S564*3.1416*210000^0.5)</f>
        <v>2.0557934139608163</v>
      </c>
      <c r="AR564" s="96">
        <f t="shared" si="86"/>
        <v>2.8080015889082199</v>
      </c>
      <c r="AS564" s="96">
        <f t="shared" si="87"/>
        <v>0.21183098325690747</v>
      </c>
      <c r="AT564" s="50">
        <f>IF(head!F$82="S235",235,IF(head!F$82="S275",275,IF(head!F$82="S355",355,IF(head!F$82="S420",420,460))))*AS564*J564/1000</f>
        <v>602.17192715051306</v>
      </c>
      <c r="AU564" s="207" t="s">
        <v>47</v>
      </c>
      <c r="AV564" s="208" t="s">
        <v>47</v>
      </c>
      <c r="AW564" s="208" t="s">
        <v>47</v>
      </c>
      <c r="AX564" s="209" t="s">
        <v>47</v>
      </c>
      <c r="AY564" s="208" t="s">
        <v>47</v>
      </c>
      <c r="AZ564" s="197">
        <v>0</v>
      </c>
      <c r="BA564" s="97" t="str">
        <f t="shared" si="88"/>
        <v>HF CHS 193,7 x 16</v>
      </c>
    </row>
    <row r="565" spans="1:53">
      <c r="A565" s="82" t="s">
        <v>678</v>
      </c>
      <c r="B565" s="83">
        <f t="shared" si="89"/>
        <v>660.37810504652703</v>
      </c>
      <c r="C565" s="84">
        <v>193.7</v>
      </c>
      <c r="D565" s="84"/>
      <c r="E565" s="125" t="s">
        <v>831</v>
      </c>
      <c r="F565" s="84"/>
      <c r="G565" s="84"/>
      <c r="H565" s="85">
        <v>70.117583426589007</v>
      </c>
      <c r="I565" s="86">
        <v>71.457409861491982</v>
      </c>
      <c r="J565" s="86">
        <v>8932.1762326864991</v>
      </c>
      <c r="K565" s="86">
        <v>0.60852649700034289</v>
      </c>
      <c r="L565" s="87">
        <v>35542569.543277085</v>
      </c>
      <c r="M565" s="88">
        <v>366985.74644581409</v>
      </c>
      <c r="N565" s="88">
        <v>506601.97333333333</v>
      </c>
      <c r="O565" s="89">
        <v>63.08059329143947</v>
      </c>
      <c r="P565" s="88">
        <v>35542569.543277085</v>
      </c>
      <c r="Q565" s="88">
        <v>366985.74644581409</v>
      </c>
      <c r="R565" s="88">
        <v>506601.97333333333</v>
      </c>
      <c r="S565" s="86">
        <v>63.08059329143947</v>
      </c>
      <c r="T565" s="87">
        <v>71085139.08655417</v>
      </c>
      <c r="U565" s="119"/>
      <c r="V565" s="90">
        <v>1</v>
      </c>
      <c r="W565" s="91">
        <v>1</v>
      </c>
      <c r="X565" s="91">
        <v>1</v>
      </c>
      <c r="Y565" s="91">
        <v>1</v>
      </c>
      <c r="Z565" s="91">
        <v>1</v>
      </c>
      <c r="AA565" s="92">
        <v>1</v>
      </c>
      <c r="AB565" s="91">
        <v>1</v>
      </c>
      <c r="AC565" s="91">
        <v>1</v>
      </c>
      <c r="AD565" s="91">
        <v>1</v>
      </c>
      <c r="AE565" s="91">
        <v>1</v>
      </c>
      <c r="AF565" s="90">
        <v>1</v>
      </c>
      <c r="AG565" s="91">
        <v>1</v>
      </c>
      <c r="AH565" s="91">
        <v>1</v>
      </c>
      <c r="AI565" s="91">
        <v>1</v>
      </c>
      <c r="AJ565" s="91">
        <v>1</v>
      </c>
      <c r="AK565" s="210">
        <f t="shared" si="90"/>
        <v>68.127462014631405</v>
      </c>
      <c r="AL565" s="146"/>
      <c r="AM565" s="94"/>
      <c r="AN565" s="95"/>
      <c r="AO565" s="91" t="str">
        <f>IF(head!$F$82="S460","a0","a")</f>
        <v>a</v>
      </c>
      <c r="AP565" s="91">
        <f t="shared" ref="AP565:AP625" si="91">IF(AO565="a0",0.13,IF(AO565="a",0.21,IF(AO565="b",0.34,IF(AO565="c",0.49,0.76))))</f>
        <v>0.21</v>
      </c>
      <c r="AQ565" s="96">
        <f>IF(head!F$82="S235",235,IF(head!F$82="S275",275,IF(head!F$82="S355",355,IF(head!F$82="S420",420,460))))^0.5*head!$G$70*1000/(S565*3.1416*210000^0.5)</f>
        <v>2.074712251624669</v>
      </c>
      <c r="AR565" s="96">
        <f t="shared" ref="AR565:AR625" si="92">0.5*(1+AP565*(AQ565-0.2)+AQ565^2)</f>
        <v>2.849060249941342</v>
      </c>
      <c r="AS565" s="96">
        <f t="shared" ref="AS565:AS625" si="93">IF(AQ565&lt;=0.2,1,1/(AR565+(AR565^2-AQ565^2)^0.5))</f>
        <v>0.2082605588779429</v>
      </c>
      <c r="AT565" s="50">
        <f>IF(head!F$82="S235",235,IF(head!F$82="S275",275,IF(head!F$82="S355",355,IF(head!F$82="S420",420,460))))*AS565*J565/1000</f>
        <v>660.37810504652703</v>
      </c>
      <c r="AU565" s="207" t="s">
        <v>47</v>
      </c>
      <c r="AV565" s="208" t="s">
        <v>47</v>
      </c>
      <c r="AW565" s="208" t="s">
        <v>47</v>
      </c>
      <c r="AX565" s="209" t="s">
        <v>47</v>
      </c>
      <c r="AY565" s="208" t="s">
        <v>47</v>
      </c>
      <c r="AZ565" s="197">
        <v>0</v>
      </c>
      <c r="BA565" s="97" t="str">
        <f t="shared" ref="BA565:BA624" si="94">A566</f>
        <v>HF CHS 193,7 x 20</v>
      </c>
    </row>
    <row r="566" spans="1:53">
      <c r="A566" s="82" t="s">
        <v>679</v>
      </c>
      <c r="B566" s="83">
        <f t="shared" si="89"/>
        <v>777.11526331468178</v>
      </c>
      <c r="C566" s="84">
        <v>193.7</v>
      </c>
      <c r="D566" s="84"/>
      <c r="E566" s="125" t="s">
        <v>833</v>
      </c>
      <c r="F566" s="84"/>
      <c r="G566" s="84"/>
      <c r="H566" s="85">
        <v>85.674059096781889</v>
      </c>
      <c r="I566" s="86">
        <v>87.311143028567528</v>
      </c>
      <c r="J566" s="86">
        <v>10913.892878570941</v>
      </c>
      <c r="K566" s="86">
        <v>0.60852649700034289</v>
      </c>
      <c r="L566" s="87">
        <v>41707018.722109795</v>
      </c>
      <c r="M566" s="88">
        <v>430635.19589168613</v>
      </c>
      <c r="N566" s="88">
        <v>606100.46666666667</v>
      </c>
      <c r="O566" s="89">
        <v>61.817968666076361</v>
      </c>
      <c r="P566" s="88">
        <v>41707018.722109795</v>
      </c>
      <c r="Q566" s="88">
        <v>430635.19589168613</v>
      </c>
      <c r="R566" s="88">
        <v>606100.46666666667</v>
      </c>
      <c r="S566" s="86">
        <v>61.817968666076361</v>
      </c>
      <c r="T566" s="87">
        <v>83414037.444219589</v>
      </c>
      <c r="U566" s="119"/>
      <c r="V566" s="90">
        <v>1</v>
      </c>
      <c r="W566" s="91">
        <v>1</v>
      </c>
      <c r="X566" s="91">
        <v>1</v>
      </c>
      <c r="Y566" s="91">
        <v>1</v>
      </c>
      <c r="Z566" s="91">
        <v>1</v>
      </c>
      <c r="AA566" s="92">
        <v>1</v>
      </c>
      <c r="AB566" s="91">
        <v>1</v>
      </c>
      <c r="AC566" s="91">
        <v>1</v>
      </c>
      <c r="AD566" s="91">
        <v>1</v>
      </c>
      <c r="AE566" s="91">
        <v>1</v>
      </c>
      <c r="AF566" s="90">
        <v>1</v>
      </c>
      <c r="AG566" s="91">
        <v>1</v>
      </c>
      <c r="AH566" s="91">
        <v>1</v>
      </c>
      <c r="AI566" s="91">
        <v>1</v>
      </c>
      <c r="AJ566" s="91">
        <v>1</v>
      </c>
      <c r="AK566" s="210">
        <f t="shared" si="90"/>
        <v>55.757052389176735</v>
      </c>
      <c r="AL566" s="146"/>
      <c r="AM566" s="94"/>
      <c r="AN566" s="95"/>
      <c r="AO566" s="91" t="str">
        <f>IF(head!$F$82="S460","a0","a")</f>
        <v>a</v>
      </c>
      <c r="AP566" s="91">
        <f t="shared" si="91"/>
        <v>0.21</v>
      </c>
      <c r="AQ566" s="96">
        <f>IF(head!F$82="S235",235,IF(head!F$82="S275",275,IF(head!F$82="S355",355,IF(head!F$82="S420",420,460))))^0.5*head!$G$70*1000/(S566*3.1416*210000^0.5)</f>
        <v>2.1170880015234421</v>
      </c>
      <c r="AR566" s="96">
        <f t="shared" si="92"/>
        <v>2.9423250432572225</v>
      </c>
      <c r="AS566" s="96">
        <f t="shared" si="93"/>
        <v>0.20057527631206704</v>
      </c>
      <c r="AT566" s="50">
        <f>IF(head!F$82="S235",235,IF(head!F$82="S275",275,IF(head!F$82="S355",355,IF(head!F$82="S420",420,460))))*AS566*J566/1000</f>
        <v>777.11526331468178</v>
      </c>
      <c r="AU566" s="207" t="s">
        <v>47</v>
      </c>
      <c r="AV566" s="208" t="s">
        <v>47</v>
      </c>
      <c r="AW566" s="208" t="s">
        <v>47</v>
      </c>
      <c r="AX566" s="209" t="s">
        <v>47</v>
      </c>
      <c r="AY566" s="208" t="s">
        <v>47</v>
      </c>
      <c r="AZ566" s="197">
        <v>0</v>
      </c>
      <c r="BA566" s="97" t="str">
        <f t="shared" si="94"/>
        <v>HF CHS 219,1 x 5</v>
      </c>
    </row>
    <row r="567" spans="1:53">
      <c r="A567" s="82" t="s">
        <v>130</v>
      </c>
      <c r="B567" s="83">
        <f t="shared" si="89"/>
        <v>347.04604014570612</v>
      </c>
      <c r="C567" s="84">
        <v>219.1</v>
      </c>
      <c r="D567" s="84"/>
      <c r="E567" s="125">
        <v>5</v>
      </c>
      <c r="F567" s="84"/>
      <c r="G567" s="84"/>
      <c r="H567" s="85">
        <v>26.400138244992807</v>
      </c>
      <c r="I567" s="86">
        <v>26.904599485342988</v>
      </c>
      <c r="J567" s="86">
        <v>3363.0749356678734</v>
      </c>
      <c r="K567" s="86">
        <v>0.68832295040152358</v>
      </c>
      <c r="L567" s="87">
        <v>19280428.733154193</v>
      </c>
      <c r="M567" s="88">
        <v>175996.6109826946</v>
      </c>
      <c r="N567" s="88">
        <v>229235.71666666679</v>
      </c>
      <c r="O567" s="89">
        <v>75.716419949704431</v>
      </c>
      <c r="P567" s="88">
        <v>19280428.733154193</v>
      </c>
      <c r="Q567" s="88">
        <v>175996.6109826946</v>
      </c>
      <c r="R567" s="88">
        <v>229235.71666666679</v>
      </c>
      <c r="S567" s="86">
        <v>75.716419949704431</v>
      </c>
      <c r="T567" s="87">
        <v>38560857.466308385</v>
      </c>
      <c r="U567" s="119"/>
      <c r="V567" s="90">
        <v>1</v>
      </c>
      <c r="W567" s="91">
        <v>2</v>
      </c>
      <c r="X567" s="91">
        <v>2</v>
      </c>
      <c r="Y567" s="91">
        <v>3</v>
      </c>
      <c r="Z567" s="91">
        <v>3</v>
      </c>
      <c r="AA567" s="92">
        <v>2</v>
      </c>
      <c r="AB567" s="91">
        <v>3</v>
      </c>
      <c r="AC567" s="91">
        <v>4</v>
      </c>
      <c r="AD567" s="91">
        <v>4</v>
      </c>
      <c r="AE567" s="91">
        <v>4</v>
      </c>
      <c r="AF567" s="90">
        <v>2</v>
      </c>
      <c r="AG567" s="91">
        <v>3</v>
      </c>
      <c r="AH567" s="91">
        <v>4</v>
      </c>
      <c r="AI567" s="91">
        <v>4</v>
      </c>
      <c r="AJ567" s="91">
        <v>4</v>
      </c>
      <c r="AK567" s="210">
        <f t="shared" si="90"/>
        <v>204.67071461933674</v>
      </c>
      <c r="AL567" s="146"/>
      <c r="AM567" s="94"/>
      <c r="AN567" s="95"/>
      <c r="AO567" s="91" t="str">
        <f>IF(head!$F$82="S460","a0","a")</f>
        <v>a</v>
      </c>
      <c r="AP567" s="91">
        <f t="shared" si="91"/>
        <v>0.21</v>
      </c>
      <c r="AQ567" s="96">
        <f>IF(head!F$82="S235",235,IF(head!F$82="S275",275,IF(head!F$82="S355",355,IF(head!F$82="S420",420,460))))^0.5*head!$G$70*1000/(S567*3.1416*210000^0.5)</f>
        <v>1.7284768591599693</v>
      </c>
      <c r="AR567" s="96">
        <f t="shared" si="92"/>
        <v>2.154306196537553</v>
      </c>
      <c r="AS567" s="96">
        <f t="shared" si="93"/>
        <v>0.29068471502539939</v>
      </c>
      <c r="AT567" s="50">
        <f>IF(head!F$82="S235",235,IF(head!F$82="S275",275,IF(head!F$82="S355",355,IF(head!F$82="S420",420,460))))*AS567*J567/1000</f>
        <v>347.04604014570612</v>
      </c>
      <c r="AU567" s="207" t="s">
        <v>47</v>
      </c>
      <c r="AV567" s="208" t="s">
        <v>47</v>
      </c>
      <c r="AW567" s="208" t="s">
        <v>47</v>
      </c>
      <c r="AX567" s="209" t="s">
        <v>47</v>
      </c>
      <c r="AY567" s="208" t="s">
        <v>47</v>
      </c>
      <c r="AZ567" s="197">
        <v>0</v>
      </c>
      <c r="BA567" s="97" t="str">
        <f t="shared" si="94"/>
        <v>HF CHS 219,1 x 5,6</v>
      </c>
    </row>
    <row r="568" spans="1:53">
      <c r="A568" s="82" t="s">
        <v>680</v>
      </c>
      <c r="B568" s="83">
        <f t="shared" si="89"/>
        <v>385.70939941198543</v>
      </c>
      <c r="C568" s="84">
        <v>219.1</v>
      </c>
      <c r="D568" s="84"/>
      <c r="E568" s="125">
        <v>5.6</v>
      </c>
      <c r="F568" s="84"/>
      <c r="G568" s="84"/>
      <c r="H568" s="85">
        <v>29.485292186560823</v>
      </c>
      <c r="I568" s="86">
        <v>30.048705413055615</v>
      </c>
      <c r="J568" s="86">
        <v>3756.0881766319521</v>
      </c>
      <c r="K568" s="86">
        <v>0.68832295040152358</v>
      </c>
      <c r="L568" s="87">
        <v>21416092.651812624</v>
      </c>
      <c r="M568" s="88">
        <v>195491.48929085006</v>
      </c>
      <c r="N568" s="88">
        <v>255319.13866666643</v>
      </c>
      <c r="O568" s="89">
        <v>75.509610315508851</v>
      </c>
      <c r="P568" s="88">
        <v>21416092.651812624</v>
      </c>
      <c r="Q568" s="88">
        <v>195491.48929085006</v>
      </c>
      <c r="R568" s="88">
        <v>255319.13866666643</v>
      </c>
      <c r="S568" s="86">
        <v>75.509610315508851</v>
      </c>
      <c r="T568" s="87">
        <v>42832185.303625248</v>
      </c>
      <c r="U568" s="119"/>
      <c r="V568" s="90">
        <v>1</v>
      </c>
      <c r="W568" s="91">
        <v>1</v>
      </c>
      <c r="X568" s="91">
        <v>2</v>
      </c>
      <c r="Y568" s="91">
        <v>2</v>
      </c>
      <c r="Z568" s="91">
        <v>3</v>
      </c>
      <c r="AA568" s="92">
        <v>2</v>
      </c>
      <c r="AB568" s="91">
        <v>2</v>
      </c>
      <c r="AC568" s="91">
        <v>3</v>
      </c>
      <c r="AD568" s="91">
        <v>4</v>
      </c>
      <c r="AE568" s="91">
        <v>4</v>
      </c>
      <c r="AF568" s="90">
        <v>2</v>
      </c>
      <c r="AG568" s="91">
        <v>2</v>
      </c>
      <c r="AH568" s="91">
        <v>3</v>
      </c>
      <c r="AI568" s="91">
        <v>4</v>
      </c>
      <c r="AJ568" s="91">
        <v>4</v>
      </c>
      <c r="AK568" s="210">
        <f t="shared" si="90"/>
        <v>183.25526932084327</v>
      </c>
      <c r="AL568" s="146"/>
      <c r="AM568" s="94"/>
      <c r="AN568" s="95"/>
      <c r="AO568" s="91" t="str">
        <f>IF(head!$F$82="S460","a0","a")</f>
        <v>a</v>
      </c>
      <c r="AP568" s="91">
        <f t="shared" si="91"/>
        <v>0.21</v>
      </c>
      <c r="AQ568" s="96">
        <f>IF(head!F$82="S235",235,IF(head!F$82="S275",275,IF(head!F$82="S355",355,IF(head!F$82="S420",420,460))))^0.5*head!$G$70*1000/(S568*3.1416*210000^0.5)</f>
        <v>1.7332109011642223</v>
      </c>
      <c r="AR568" s="96">
        <f t="shared" si="92"/>
        <v>2.1629971585794907</v>
      </c>
      <c r="AS568" s="96">
        <f t="shared" si="93"/>
        <v>0.28926513419356298</v>
      </c>
      <c r="AT568" s="50">
        <f>IF(head!F$82="S235",235,IF(head!F$82="S275",275,IF(head!F$82="S355",355,IF(head!F$82="S420",420,460))))*AS568*J568/1000</f>
        <v>385.70939941198543</v>
      </c>
      <c r="AU568" s="207" t="s">
        <v>47</v>
      </c>
      <c r="AV568" s="208" t="s">
        <v>47</v>
      </c>
      <c r="AW568" s="208" t="s">
        <v>47</v>
      </c>
      <c r="AX568" s="209" t="s">
        <v>47</v>
      </c>
      <c r="AY568" s="208" t="s">
        <v>47</v>
      </c>
      <c r="AZ568" s="197">
        <v>0</v>
      </c>
      <c r="BA568" s="97" t="str">
        <f t="shared" si="94"/>
        <v>HF CHS 219,1 x 6,3</v>
      </c>
    </row>
    <row r="569" spans="1:53">
      <c r="A569" s="82" t="s">
        <v>681</v>
      </c>
      <c r="B569" s="83">
        <f t="shared" si="89"/>
        <v>430.03604220316674</v>
      </c>
      <c r="C569" s="84">
        <v>219.1</v>
      </c>
      <c r="D569" s="84"/>
      <c r="E569" s="125" t="s">
        <v>824</v>
      </c>
      <c r="F569" s="84"/>
      <c r="G569" s="84"/>
      <c r="H569" s="85">
        <v>33.062196484602651</v>
      </c>
      <c r="I569" s="86">
        <v>33.693958200868941</v>
      </c>
      <c r="J569" s="86">
        <v>4211.7447751086183</v>
      </c>
      <c r="K569" s="86">
        <v>0.68832295040152358</v>
      </c>
      <c r="L569" s="87">
        <v>23861392.58337234</v>
      </c>
      <c r="M569" s="88">
        <v>217812.80313438925</v>
      </c>
      <c r="N569" s="88">
        <v>285371.54099999985</v>
      </c>
      <c r="O569" s="89">
        <v>75.26912547651925</v>
      </c>
      <c r="P569" s="88">
        <v>23861392.58337234</v>
      </c>
      <c r="Q569" s="88">
        <v>217812.80313438925</v>
      </c>
      <c r="R569" s="88">
        <v>285371.54099999985</v>
      </c>
      <c r="S569" s="86">
        <v>75.26912547651925</v>
      </c>
      <c r="T569" s="87">
        <v>47722785.166744679</v>
      </c>
      <c r="U569" s="119"/>
      <c r="V569" s="90">
        <v>1</v>
      </c>
      <c r="W569" s="91">
        <v>1</v>
      </c>
      <c r="X569" s="91">
        <v>2</v>
      </c>
      <c r="Y569" s="91">
        <v>2</v>
      </c>
      <c r="Z569" s="91">
        <v>2</v>
      </c>
      <c r="AA569" s="92">
        <v>1</v>
      </c>
      <c r="AB569" s="91">
        <v>2</v>
      </c>
      <c r="AC569" s="91">
        <v>3</v>
      </c>
      <c r="AD569" s="91">
        <v>3</v>
      </c>
      <c r="AE569" s="91">
        <v>4</v>
      </c>
      <c r="AF569" s="90">
        <v>1</v>
      </c>
      <c r="AG569" s="91">
        <v>2</v>
      </c>
      <c r="AH569" s="91">
        <v>3</v>
      </c>
      <c r="AI569" s="91">
        <v>3</v>
      </c>
      <c r="AJ569" s="91">
        <v>4</v>
      </c>
      <c r="AK569" s="210">
        <f t="shared" si="90"/>
        <v>163.42940685045951</v>
      </c>
      <c r="AL569" s="146"/>
      <c r="AM569" s="94"/>
      <c r="AN569" s="95"/>
      <c r="AO569" s="91" t="str">
        <f>IF(head!$F$82="S460","a0","a")</f>
        <v>a</v>
      </c>
      <c r="AP569" s="91">
        <f t="shared" si="91"/>
        <v>0.21</v>
      </c>
      <c r="AQ569" s="96">
        <f>IF(head!F$82="S235",235,IF(head!F$82="S275",275,IF(head!F$82="S355",355,IF(head!F$82="S420",420,460))))^0.5*head!$G$70*1000/(S569*3.1416*210000^0.5)</f>
        <v>1.7387485096041069</v>
      </c>
      <c r="AR569" s="96">
        <f t="shared" si="92"/>
        <v>2.1731917833336825</v>
      </c>
      <c r="AS569" s="96">
        <f t="shared" si="93"/>
        <v>0.28761693731439991</v>
      </c>
      <c r="AT569" s="50">
        <f>IF(head!F$82="S235",235,IF(head!F$82="S275",275,IF(head!F$82="S355",355,IF(head!F$82="S420",420,460))))*AS569*J569/1000</f>
        <v>430.03604220316674</v>
      </c>
      <c r="AU569" s="207" t="s">
        <v>47</v>
      </c>
      <c r="AV569" s="208" t="s">
        <v>47</v>
      </c>
      <c r="AW569" s="208" t="s">
        <v>47</v>
      </c>
      <c r="AX569" s="209" t="s">
        <v>47</v>
      </c>
      <c r="AY569" s="208" t="s">
        <v>47</v>
      </c>
      <c r="AZ569" s="197">
        <v>0</v>
      </c>
      <c r="BA569" s="97" t="str">
        <f t="shared" si="94"/>
        <v>HF CHS 219,1 x 7,1</v>
      </c>
    </row>
    <row r="570" spans="1:53">
      <c r="A570" s="82" t="s">
        <v>682</v>
      </c>
      <c r="B570" s="83">
        <f t="shared" si="89"/>
        <v>479.67752094762875</v>
      </c>
      <c r="C570" s="84">
        <v>219.1</v>
      </c>
      <c r="D570" s="84"/>
      <c r="E570" s="125" t="s">
        <v>825</v>
      </c>
      <c r="F570" s="84"/>
      <c r="G570" s="84"/>
      <c r="H570" s="85">
        <v>37.120493308139324</v>
      </c>
      <c r="I570" s="86">
        <v>37.829802097466825</v>
      </c>
      <c r="J570" s="86">
        <v>4728.7252621833532</v>
      </c>
      <c r="K570" s="86">
        <v>0.68832295040152358</v>
      </c>
      <c r="L570" s="87">
        <v>26595775.403004412</v>
      </c>
      <c r="M570" s="88">
        <v>242772.93841172446</v>
      </c>
      <c r="N570" s="88">
        <v>319221.70366666652</v>
      </c>
      <c r="O570" s="89">
        <v>74.995341521990554</v>
      </c>
      <c r="P570" s="88">
        <v>26595775.403004412</v>
      </c>
      <c r="Q570" s="88">
        <v>242772.93841172446</v>
      </c>
      <c r="R570" s="88">
        <v>319221.70366666652</v>
      </c>
      <c r="S570" s="86">
        <v>74.995341521990554</v>
      </c>
      <c r="T570" s="87">
        <v>53191550.806008823</v>
      </c>
      <c r="U570" s="119"/>
      <c r="V570" s="90">
        <v>1</v>
      </c>
      <c r="W570" s="91">
        <v>1</v>
      </c>
      <c r="X570" s="91">
        <v>1</v>
      </c>
      <c r="Y570" s="91">
        <v>2</v>
      </c>
      <c r="Z570" s="91">
        <v>2</v>
      </c>
      <c r="AA570" s="92">
        <v>1</v>
      </c>
      <c r="AB570" s="91">
        <v>1</v>
      </c>
      <c r="AC570" s="91">
        <v>2</v>
      </c>
      <c r="AD570" s="91">
        <v>3</v>
      </c>
      <c r="AE570" s="91">
        <v>3</v>
      </c>
      <c r="AF570" s="90">
        <v>1</v>
      </c>
      <c r="AG570" s="91">
        <v>1</v>
      </c>
      <c r="AH570" s="91">
        <v>2</v>
      </c>
      <c r="AI570" s="91">
        <v>3</v>
      </c>
      <c r="AJ570" s="91">
        <v>3</v>
      </c>
      <c r="AK570" s="210">
        <f t="shared" si="90"/>
        <v>145.56205155461078</v>
      </c>
      <c r="AL570" s="146"/>
      <c r="AM570" s="94"/>
      <c r="AN570" s="95"/>
      <c r="AO570" s="91" t="str">
        <f>IF(head!$F$82="S460","a0","a")</f>
        <v>a</v>
      </c>
      <c r="AP570" s="91">
        <f t="shared" si="91"/>
        <v>0.21</v>
      </c>
      <c r="AQ570" s="96">
        <f>IF(head!F$82="S235",235,IF(head!F$82="S275",275,IF(head!F$82="S355",355,IF(head!F$82="S420",420,460))))^0.5*head!$G$70*1000/(S570*3.1416*210000^0.5)</f>
        <v>1.7450961231122164</v>
      </c>
      <c r="AR570" s="96">
        <f t="shared" si="92"/>
        <v>2.1849153323774266</v>
      </c>
      <c r="AS570" s="96">
        <f t="shared" si="93"/>
        <v>0.28574387587398931</v>
      </c>
      <c r="AT570" s="50">
        <f>IF(head!F$82="S235",235,IF(head!F$82="S275",275,IF(head!F$82="S355",355,IF(head!F$82="S420",420,460))))*AS570*J570/1000</f>
        <v>479.67752094762875</v>
      </c>
      <c r="AU570" s="207" t="s">
        <v>47</v>
      </c>
      <c r="AV570" s="208" t="s">
        <v>47</v>
      </c>
      <c r="AW570" s="208" t="s">
        <v>47</v>
      </c>
      <c r="AX570" s="209" t="s">
        <v>47</v>
      </c>
      <c r="AY570" s="208" t="s">
        <v>47</v>
      </c>
      <c r="AZ570" s="197">
        <v>0</v>
      </c>
      <c r="BA570" s="97" t="str">
        <f t="shared" si="94"/>
        <v>HF CHS 219,1 x 8</v>
      </c>
    </row>
    <row r="571" spans="1:53">
      <c r="A571" s="82" t="s">
        <v>683</v>
      </c>
      <c r="B571" s="83">
        <f t="shared" si="89"/>
        <v>534.24402053179585</v>
      </c>
      <c r="C571" s="84">
        <v>219.1</v>
      </c>
      <c r="D571" s="84"/>
      <c r="E571" s="125" t="s">
        <v>826</v>
      </c>
      <c r="F571" s="84"/>
      <c r="G571" s="84"/>
      <c r="H571" s="85">
        <v>41.64834513605215</v>
      </c>
      <c r="I571" s="86">
        <v>42.444173387059514</v>
      </c>
      <c r="J571" s="86">
        <v>5305.52167338244</v>
      </c>
      <c r="K571" s="86">
        <v>0.68832295040152358</v>
      </c>
      <c r="L571" s="87">
        <v>29596328.734698702</v>
      </c>
      <c r="M571" s="88">
        <v>270162.74518209678</v>
      </c>
      <c r="N571" s="88">
        <v>356676.3466666665</v>
      </c>
      <c r="O571" s="89">
        <v>74.688695597125019</v>
      </c>
      <c r="P571" s="88">
        <v>29596328.734698702</v>
      </c>
      <c r="Q571" s="88">
        <v>270162.74518209678</v>
      </c>
      <c r="R571" s="88">
        <v>356676.3466666665</v>
      </c>
      <c r="S571" s="86">
        <v>74.688695597125019</v>
      </c>
      <c r="T571" s="87">
        <v>59192657.469397403</v>
      </c>
      <c r="U571" s="119"/>
      <c r="V571" s="90">
        <v>1</v>
      </c>
      <c r="W571" s="91">
        <v>1</v>
      </c>
      <c r="X571" s="91">
        <v>1</v>
      </c>
      <c r="Y571" s="91">
        <v>1</v>
      </c>
      <c r="Z571" s="91">
        <v>2</v>
      </c>
      <c r="AA571" s="92">
        <v>1</v>
      </c>
      <c r="AB571" s="91">
        <v>1</v>
      </c>
      <c r="AC571" s="91">
        <v>2</v>
      </c>
      <c r="AD571" s="91">
        <v>2</v>
      </c>
      <c r="AE571" s="91">
        <v>3</v>
      </c>
      <c r="AF571" s="90">
        <v>1</v>
      </c>
      <c r="AG571" s="91">
        <v>1</v>
      </c>
      <c r="AH571" s="91">
        <v>2</v>
      </c>
      <c r="AI571" s="91">
        <v>2</v>
      </c>
      <c r="AJ571" s="91">
        <v>3</v>
      </c>
      <c r="AK571" s="210">
        <f t="shared" si="90"/>
        <v>129.73709142586458</v>
      </c>
      <c r="AL571" s="146"/>
      <c r="AM571" s="94"/>
      <c r="AN571" s="95"/>
      <c r="AO571" s="91" t="str">
        <f>IF(head!$F$82="S460","a0","a")</f>
        <v>a</v>
      </c>
      <c r="AP571" s="91">
        <f t="shared" si="91"/>
        <v>0.21</v>
      </c>
      <c r="AQ571" s="96">
        <f>IF(head!F$82="S235",235,IF(head!F$82="S275",275,IF(head!F$82="S355",355,IF(head!F$82="S420",420,460))))^0.5*head!$G$70*1000/(S571*3.1416*210000^0.5)</f>
        <v>1.7522608835940101</v>
      </c>
      <c r="AR571" s="96">
        <f t="shared" si="92"/>
        <v>2.1981964948642014</v>
      </c>
      <c r="AS571" s="96">
        <f t="shared" si="93"/>
        <v>0.28365028484238619</v>
      </c>
      <c r="AT571" s="50">
        <f>IF(head!F$82="S235",235,IF(head!F$82="S275",275,IF(head!F$82="S355",355,IF(head!F$82="S420",420,460))))*AS571*J571/1000</f>
        <v>534.24402053179585</v>
      </c>
      <c r="AU571" s="207" t="s">
        <v>47</v>
      </c>
      <c r="AV571" s="208" t="s">
        <v>47</v>
      </c>
      <c r="AW571" s="208" t="s">
        <v>47</v>
      </c>
      <c r="AX571" s="209" t="s">
        <v>47</v>
      </c>
      <c r="AY571" s="208" t="s">
        <v>47</v>
      </c>
      <c r="AZ571" s="197">
        <v>0</v>
      </c>
      <c r="BA571" s="97" t="str">
        <f t="shared" si="94"/>
        <v>HF CHS 219,1 x 8,8</v>
      </c>
    </row>
    <row r="572" spans="1:53">
      <c r="A572" s="82" t="s">
        <v>684</v>
      </c>
      <c r="B572" s="83">
        <f t="shared" si="89"/>
        <v>581.62553584262992</v>
      </c>
      <c r="C572" s="84">
        <v>219.1</v>
      </c>
      <c r="D572" s="84"/>
      <c r="E572" s="125" t="s">
        <v>827</v>
      </c>
      <c r="F572" s="84"/>
      <c r="G572" s="84"/>
      <c r="H572" s="85">
        <v>45.639562673249394</v>
      </c>
      <c r="I572" s="86">
        <v>46.511656227515303</v>
      </c>
      <c r="J572" s="86">
        <v>5813.9570284394131</v>
      </c>
      <c r="K572" s="86">
        <v>0.68832295040152358</v>
      </c>
      <c r="L572" s="87">
        <v>32197352.453522049</v>
      </c>
      <c r="M572" s="88">
        <v>293905.54498879093</v>
      </c>
      <c r="N572" s="88">
        <v>389416.74933333322</v>
      </c>
      <c r="O572" s="89">
        <v>74.41734508835961</v>
      </c>
      <c r="P572" s="88">
        <v>32197352.453522049</v>
      </c>
      <c r="Q572" s="88">
        <v>293905.54498879093</v>
      </c>
      <c r="R572" s="88">
        <v>389416.74933333322</v>
      </c>
      <c r="S572" s="86">
        <v>74.41734508835961</v>
      </c>
      <c r="T572" s="87">
        <v>64394704.907044098</v>
      </c>
      <c r="U572" s="119"/>
      <c r="V572" s="90">
        <v>1</v>
      </c>
      <c r="W572" s="91">
        <v>1</v>
      </c>
      <c r="X572" s="91">
        <v>1</v>
      </c>
      <c r="Y572" s="91">
        <v>1</v>
      </c>
      <c r="Z572" s="91">
        <v>1</v>
      </c>
      <c r="AA572" s="92">
        <v>1</v>
      </c>
      <c r="AB572" s="91">
        <v>1</v>
      </c>
      <c r="AC572" s="91">
        <v>2</v>
      </c>
      <c r="AD572" s="91">
        <v>2</v>
      </c>
      <c r="AE572" s="91">
        <v>2</v>
      </c>
      <c r="AF572" s="90">
        <v>1</v>
      </c>
      <c r="AG572" s="91">
        <v>1</v>
      </c>
      <c r="AH572" s="91">
        <v>2</v>
      </c>
      <c r="AI572" s="91">
        <v>2</v>
      </c>
      <c r="AJ572" s="91">
        <v>2</v>
      </c>
      <c r="AK572" s="210">
        <f t="shared" si="90"/>
        <v>118.39147538148967</v>
      </c>
      <c r="AL572" s="146"/>
      <c r="AM572" s="94"/>
      <c r="AN572" s="95"/>
      <c r="AO572" s="91" t="str">
        <f>IF(head!$F$82="S460","a0","a")</f>
        <v>a</v>
      </c>
      <c r="AP572" s="91">
        <f t="shared" si="91"/>
        <v>0.21</v>
      </c>
      <c r="AQ572" s="96">
        <f>IF(head!F$82="S235",235,IF(head!F$82="S275",275,IF(head!F$82="S355",355,IF(head!F$82="S420",420,460))))^0.5*head!$G$70*1000/(S572*3.1416*210000^0.5)</f>
        <v>1.7586502123410706</v>
      </c>
      <c r="AR572" s="96">
        <f t="shared" si="92"/>
        <v>2.210083556979459</v>
      </c>
      <c r="AS572" s="96">
        <f t="shared" si="93"/>
        <v>0.28180149648367381</v>
      </c>
      <c r="AT572" s="50">
        <f>IF(head!F$82="S235",235,IF(head!F$82="S275",275,IF(head!F$82="S355",355,IF(head!F$82="S420",420,460))))*AS572*J572/1000</f>
        <v>581.62553584262992</v>
      </c>
      <c r="AU572" s="207" t="s">
        <v>47</v>
      </c>
      <c r="AV572" s="208" t="s">
        <v>47</v>
      </c>
      <c r="AW572" s="208" t="s">
        <v>47</v>
      </c>
      <c r="AX572" s="209" t="s">
        <v>47</v>
      </c>
      <c r="AY572" s="208" t="s">
        <v>47</v>
      </c>
      <c r="AZ572" s="197">
        <v>0</v>
      </c>
      <c r="BA572" s="97" t="str">
        <f t="shared" si="94"/>
        <v>HF CHS 219,1 x 10</v>
      </c>
    </row>
    <row r="573" spans="1:53">
      <c r="A573" s="82" t="s">
        <v>685</v>
      </c>
      <c r="B573" s="83">
        <f t="shared" si="89"/>
        <v>650.75014422257641</v>
      </c>
      <c r="C573" s="84">
        <v>219.1</v>
      </c>
      <c r="D573" s="84"/>
      <c r="E573" s="125" t="s">
        <v>828</v>
      </c>
      <c r="F573" s="84"/>
      <c r="G573" s="84"/>
      <c r="H573" s="85">
        <v>51.567201373451617</v>
      </c>
      <c r="I573" s="86">
        <v>52.552561909250052</v>
      </c>
      <c r="J573" s="86">
        <v>6569.0702386562571</v>
      </c>
      <c r="K573" s="86">
        <v>0.68832295040152358</v>
      </c>
      <c r="L573" s="87">
        <v>35984389.618160978</v>
      </c>
      <c r="M573" s="88">
        <v>328474.57433282502</v>
      </c>
      <c r="N573" s="88">
        <v>437561.43333333329</v>
      </c>
      <c r="O573" s="89">
        <v>74.012507388954205</v>
      </c>
      <c r="P573" s="88">
        <v>35984389.618160978</v>
      </c>
      <c r="Q573" s="88">
        <v>328474.57433282502</v>
      </c>
      <c r="R573" s="88">
        <v>437561.43333333329</v>
      </c>
      <c r="S573" s="86">
        <v>74.012507388954205</v>
      </c>
      <c r="T573" s="87">
        <v>71968779.236321956</v>
      </c>
      <c r="U573" s="119"/>
      <c r="V573" s="90">
        <v>1</v>
      </c>
      <c r="W573" s="91">
        <v>1</v>
      </c>
      <c r="X573" s="91">
        <v>1</v>
      </c>
      <c r="Y573" s="91">
        <v>1</v>
      </c>
      <c r="Z573" s="91">
        <v>1</v>
      </c>
      <c r="AA573" s="92">
        <v>1</v>
      </c>
      <c r="AB573" s="91">
        <v>1</v>
      </c>
      <c r="AC573" s="91">
        <v>1</v>
      </c>
      <c r="AD573" s="91">
        <v>2</v>
      </c>
      <c r="AE573" s="91">
        <v>2</v>
      </c>
      <c r="AF573" s="90">
        <v>1</v>
      </c>
      <c r="AG573" s="91">
        <v>1</v>
      </c>
      <c r="AH573" s="91">
        <v>1</v>
      </c>
      <c r="AI573" s="91">
        <v>2</v>
      </c>
      <c r="AJ573" s="91">
        <v>2</v>
      </c>
      <c r="AK573" s="210">
        <f t="shared" si="90"/>
        <v>104.78240076518412</v>
      </c>
      <c r="AL573" s="146"/>
      <c r="AM573" s="94"/>
      <c r="AN573" s="95"/>
      <c r="AO573" s="91" t="str">
        <f>IF(head!$F$82="S460","a0","a")</f>
        <v>a</v>
      </c>
      <c r="AP573" s="91">
        <f t="shared" si="91"/>
        <v>0.21</v>
      </c>
      <c r="AQ573" s="96">
        <f>IF(head!F$82="S235",235,IF(head!F$82="S275",275,IF(head!F$82="S355",355,IF(head!F$82="S420",420,460))))^0.5*head!$G$70*1000/(S573*3.1416*210000^0.5)</f>
        <v>1.7682697743737608</v>
      </c>
      <c r="AR573" s="96">
        <f t="shared" si="92"/>
        <v>2.2280573237911603</v>
      </c>
      <c r="AS573" s="96">
        <f t="shared" si="93"/>
        <v>0.27904999204043307</v>
      </c>
      <c r="AT573" s="50">
        <f>IF(head!F$82="S235",235,IF(head!F$82="S275",275,IF(head!F$82="S355",355,IF(head!F$82="S420",420,460))))*AS573*J573/1000</f>
        <v>650.75014422257641</v>
      </c>
      <c r="AU573" s="207" t="s">
        <v>47</v>
      </c>
      <c r="AV573" s="208" t="s">
        <v>47</v>
      </c>
      <c r="AW573" s="208" t="s">
        <v>47</v>
      </c>
      <c r="AX573" s="209" t="s">
        <v>47</v>
      </c>
      <c r="AY573" s="208" t="s">
        <v>47</v>
      </c>
      <c r="AZ573" s="197">
        <v>0</v>
      </c>
      <c r="BA573" s="97" t="str">
        <f t="shared" si="94"/>
        <v>HF CHS 219,1 x 12,5</v>
      </c>
    </row>
    <row r="574" spans="1:53">
      <c r="A574" s="82" t="s">
        <v>686</v>
      </c>
      <c r="B574" s="83">
        <f t="shared" si="89"/>
        <v>787.44590626738898</v>
      </c>
      <c r="C574" s="84">
        <v>219.1</v>
      </c>
      <c r="D574" s="84"/>
      <c r="E574" s="125" t="s">
        <v>829</v>
      </c>
      <c r="F574" s="84"/>
      <c r="G574" s="84"/>
      <c r="H574" s="85">
        <v>63.688329768980779</v>
      </c>
      <c r="I574" s="86">
        <v>64.905304223165132</v>
      </c>
      <c r="J574" s="86">
        <v>8113.1630278956409</v>
      </c>
      <c r="K574" s="86">
        <v>0.68832295040152358</v>
      </c>
      <c r="L574" s="87">
        <v>43445795.326759242</v>
      </c>
      <c r="M574" s="88">
        <v>396584.16546562524</v>
      </c>
      <c r="N574" s="88">
        <v>534195.54166666674</v>
      </c>
      <c r="O574" s="89">
        <v>73.177703229877338</v>
      </c>
      <c r="P574" s="88">
        <v>43445795.326759242</v>
      </c>
      <c r="Q574" s="88">
        <v>396584.16546562524</v>
      </c>
      <c r="R574" s="88">
        <v>534195.54166666674</v>
      </c>
      <c r="S574" s="86">
        <v>73.177703229877338</v>
      </c>
      <c r="T574" s="87">
        <v>86891590.653518483</v>
      </c>
      <c r="U574" s="119"/>
      <c r="V574" s="90">
        <v>1</v>
      </c>
      <c r="W574" s="91">
        <v>1</v>
      </c>
      <c r="X574" s="91">
        <v>1</v>
      </c>
      <c r="Y574" s="91">
        <v>1</v>
      </c>
      <c r="Z574" s="91">
        <v>1</v>
      </c>
      <c r="AA574" s="92">
        <v>1</v>
      </c>
      <c r="AB574" s="91">
        <v>1</v>
      </c>
      <c r="AC574" s="91">
        <v>1</v>
      </c>
      <c r="AD574" s="91">
        <v>1</v>
      </c>
      <c r="AE574" s="91">
        <v>1</v>
      </c>
      <c r="AF574" s="90">
        <v>1</v>
      </c>
      <c r="AG574" s="91">
        <v>1</v>
      </c>
      <c r="AH574" s="91">
        <v>1</v>
      </c>
      <c r="AI574" s="91">
        <v>1</v>
      </c>
      <c r="AJ574" s="91">
        <v>1</v>
      </c>
      <c r="AK574" s="210">
        <f t="shared" si="90"/>
        <v>84.840271055179088</v>
      </c>
      <c r="AL574" s="146"/>
      <c r="AM574" s="94"/>
      <c r="AN574" s="95"/>
      <c r="AO574" s="91" t="str">
        <f>IF(head!$F$82="S460","a0","a")</f>
        <v>a</v>
      </c>
      <c r="AP574" s="91">
        <f t="shared" si="91"/>
        <v>0.21</v>
      </c>
      <c r="AQ574" s="96">
        <f>IF(head!F$82="S235",235,IF(head!F$82="S275",275,IF(head!F$82="S355",355,IF(head!F$82="S420",420,460))))^0.5*head!$G$70*1000/(S574*3.1416*210000^0.5)</f>
        <v>1.7884420248935671</v>
      </c>
      <c r="AR574" s="96">
        <f t="shared" si="92"/>
        <v>2.2660488508165257</v>
      </c>
      <c r="AS574" s="96">
        <f t="shared" si="93"/>
        <v>0.27340230620494332</v>
      </c>
      <c r="AT574" s="50">
        <f>IF(head!F$82="S235",235,IF(head!F$82="S275",275,IF(head!F$82="S355",355,IF(head!F$82="S420",420,460))))*AS574*J574/1000</f>
        <v>787.44590626738898</v>
      </c>
      <c r="AU574" s="207" t="s">
        <v>47</v>
      </c>
      <c r="AV574" s="208" t="s">
        <v>47</v>
      </c>
      <c r="AW574" s="208" t="s">
        <v>47</v>
      </c>
      <c r="AX574" s="209" t="s">
        <v>47</v>
      </c>
      <c r="AY574" s="208" t="s">
        <v>47</v>
      </c>
      <c r="AZ574" s="197">
        <v>0</v>
      </c>
      <c r="BA574" s="97" t="str">
        <f t="shared" si="94"/>
        <v>HF CHS 219,1 x 14,2</v>
      </c>
    </row>
    <row r="575" spans="1:53">
      <c r="A575" s="82" t="s">
        <v>687</v>
      </c>
      <c r="B575" s="83">
        <f t="shared" si="89"/>
        <v>874.93093486566477</v>
      </c>
      <c r="C575" s="84">
        <v>219.1</v>
      </c>
      <c r="D575" s="84"/>
      <c r="E575" s="125" t="s">
        <v>830</v>
      </c>
      <c r="F575" s="84"/>
      <c r="G575" s="84"/>
      <c r="H575" s="85">
        <v>71.754613951299547</v>
      </c>
      <c r="I575" s="86">
        <v>73.12572122425432</v>
      </c>
      <c r="J575" s="86">
        <v>9140.7151530317897</v>
      </c>
      <c r="K575" s="86">
        <v>0.68832295040152358</v>
      </c>
      <c r="L575" s="87">
        <v>48200876.274436943</v>
      </c>
      <c r="M575" s="88">
        <v>439989.74234994926</v>
      </c>
      <c r="N575" s="88">
        <v>597127.37133333331</v>
      </c>
      <c r="O575" s="89">
        <v>72.616845497446391</v>
      </c>
      <c r="P575" s="88">
        <v>48200876.274436943</v>
      </c>
      <c r="Q575" s="88">
        <v>439989.74234994926</v>
      </c>
      <c r="R575" s="88">
        <v>597127.37133333331</v>
      </c>
      <c r="S575" s="86">
        <v>72.616845497446391</v>
      </c>
      <c r="T575" s="87">
        <v>96401752.548873886</v>
      </c>
      <c r="U575" s="119"/>
      <c r="V575" s="90">
        <v>1</v>
      </c>
      <c r="W575" s="91">
        <v>1</v>
      </c>
      <c r="X575" s="91">
        <v>1</v>
      </c>
      <c r="Y575" s="91">
        <v>1</v>
      </c>
      <c r="Z575" s="91">
        <v>1</v>
      </c>
      <c r="AA575" s="92">
        <v>1</v>
      </c>
      <c r="AB575" s="91">
        <v>1</v>
      </c>
      <c r="AC575" s="91">
        <v>1</v>
      </c>
      <c r="AD575" s="91">
        <v>1</v>
      </c>
      <c r="AE575" s="91">
        <v>1</v>
      </c>
      <c r="AF575" s="90">
        <v>1</v>
      </c>
      <c r="AG575" s="91">
        <v>1</v>
      </c>
      <c r="AH575" s="91">
        <v>1</v>
      </c>
      <c r="AI575" s="91">
        <v>1</v>
      </c>
      <c r="AJ575" s="91">
        <v>1</v>
      </c>
      <c r="AK575" s="210">
        <f t="shared" si="90"/>
        <v>75.302964689061639</v>
      </c>
      <c r="AL575" s="146"/>
      <c r="AM575" s="94"/>
      <c r="AN575" s="95"/>
      <c r="AO575" s="91" t="str">
        <f>IF(head!$F$82="S460","a0","a")</f>
        <v>a</v>
      </c>
      <c r="AP575" s="91">
        <f t="shared" si="91"/>
        <v>0.21</v>
      </c>
      <c r="AQ575" s="96">
        <f>IF(head!F$82="S235",235,IF(head!F$82="S275",275,IF(head!F$82="S355",355,IF(head!F$82="S420",420,460))))^0.5*head!$G$70*1000/(S575*3.1416*210000^0.5)</f>
        <v>1.8022550944615823</v>
      </c>
      <c r="AR575" s="96">
        <f t="shared" si="92"/>
        <v>2.2922984976748295</v>
      </c>
      <c r="AS575" s="96">
        <f t="shared" si="93"/>
        <v>0.26962815725668104</v>
      </c>
      <c r="AT575" s="50">
        <f>IF(head!F$82="S235",235,IF(head!F$82="S275",275,IF(head!F$82="S355",355,IF(head!F$82="S420",420,460))))*AS575*J575/1000</f>
        <v>874.93093486566477</v>
      </c>
      <c r="AU575" s="207" t="s">
        <v>47</v>
      </c>
      <c r="AV575" s="208" t="s">
        <v>47</v>
      </c>
      <c r="AW575" s="208" t="s">
        <v>47</v>
      </c>
      <c r="AX575" s="209" t="s">
        <v>47</v>
      </c>
      <c r="AY575" s="208" t="s">
        <v>47</v>
      </c>
      <c r="AZ575" s="197">
        <v>0</v>
      </c>
      <c r="BA575" s="97" t="str">
        <f t="shared" si="94"/>
        <v>HF CHS 219,1 x 16</v>
      </c>
    </row>
    <row r="576" spans="1:53">
      <c r="A576" s="82" t="s">
        <v>688</v>
      </c>
      <c r="B576" s="83">
        <f t="shared" si="89"/>
        <v>962.90984907940867</v>
      </c>
      <c r="C576" s="84">
        <v>219.1</v>
      </c>
      <c r="D576" s="84"/>
      <c r="E576" s="125" t="s">
        <v>831</v>
      </c>
      <c r="F576" s="84"/>
      <c r="G576" s="84"/>
      <c r="H576" s="85">
        <v>80.140017973777333</v>
      </c>
      <c r="I576" s="86">
        <v>81.671355896843139</v>
      </c>
      <c r="J576" s="86">
        <v>10208.919487105393</v>
      </c>
      <c r="K576" s="86">
        <v>0.68832295040152358</v>
      </c>
      <c r="L576" s="87">
        <v>52965928.84414956</v>
      </c>
      <c r="M576" s="88">
        <v>483486.34271245601</v>
      </c>
      <c r="N576" s="88">
        <v>661359.0933333335</v>
      </c>
      <c r="O576" s="89">
        <v>72.029169438499011</v>
      </c>
      <c r="P576" s="88">
        <v>52965928.84414956</v>
      </c>
      <c r="Q576" s="88">
        <v>483486.34271245601</v>
      </c>
      <c r="R576" s="88">
        <v>661359.0933333335</v>
      </c>
      <c r="S576" s="86">
        <v>72.029169438499011</v>
      </c>
      <c r="T576" s="87">
        <v>105931857.68829912</v>
      </c>
      <c r="U576" s="119"/>
      <c r="V576" s="90">
        <v>1</v>
      </c>
      <c r="W576" s="91">
        <v>1</v>
      </c>
      <c r="X576" s="91">
        <v>1</v>
      </c>
      <c r="Y576" s="91">
        <v>1</v>
      </c>
      <c r="Z576" s="91">
        <v>1</v>
      </c>
      <c r="AA576" s="92">
        <v>1</v>
      </c>
      <c r="AB576" s="91">
        <v>1</v>
      </c>
      <c r="AC576" s="91">
        <v>1</v>
      </c>
      <c r="AD576" s="91">
        <v>1</v>
      </c>
      <c r="AE576" s="91">
        <v>1</v>
      </c>
      <c r="AF576" s="90">
        <v>1</v>
      </c>
      <c r="AG576" s="91">
        <v>1</v>
      </c>
      <c r="AH576" s="91">
        <v>1</v>
      </c>
      <c r="AI576" s="91">
        <v>1</v>
      </c>
      <c r="AJ576" s="91">
        <v>1</v>
      </c>
      <c r="AK576" s="210">
        <f t="shared" si="90"/>
        <v>67.423682914820276</v>
      </c>
      <c r="AL576" s="146"/>
      <c r="AM576" s="94"/>
      <c r="AN576" s="95"/>
      <c r="AO576" s="91" t="str">
        <f>IF(head!$F$82="S460","a0","a")</f>
        <v>a</v>
      </c>
      <c r="AP576" s="91">
        <f t="shared" si="91"/>
        <v>0.21</v>
      </c>
      <c r="AQ576" s="96">
        <f>IF(head!F$82="S235",235,IF(head!F$82="S275",275,IF(head!F$82="S355",355,IF(head!F$82="S420",420,460))))^0.5*head!$G$70*1000/(S576*3.1416*210000^0.5)</f>
        <v>1.8169594452043094</v>
      </c>
      <c r="AR576" s="96">
        <f t="shared" si="92"/>
        <v>2.3204515545050284</v>
      </c>
      <c r="AS576" s="96">
        <f t="shared" si="93"/>
        <v>0.26569139990856305</v>
      </c>
      <c r="AT576" s="50">
        <f>IF(head!F$82="S235",235,IF(head!F$82="S275",275,IF(head!F$82="S355",355,IF(head!F$82="S420",420,460))))*AS576*J576/1000</f>
        <v>962.90984907940867</v>
      </c>
      <c r="AU576" s="207" t="s">
        <v>47</v>
      </c>
      <c r="AV576" s="208" t="s">
        <v>47</v>
      </c>
      <c r="AW576" s="208" t="s">
        <v>47</v>
      </c>
      <c r="AX576" s="209" t="s">
        <v>47</v>
      </c>
      <c r="AY576" s="208" t="s">
        <v>47</v>
      </c>
      <c r="AZ576" s="197">
        <v>0</v>
      </c>
      <c r="BA576" s="97" t="str">
        <f t="shared" si="94"/>
        <v>HF CHS 219,1 x 20</v>
      </c>
    </row>
    <row r="577" spans="1:53">
      <c r="A577" s="82" t="s">
        <v>689</v>
      </c>
      <c r="B577" s="83">
        <f t="shared" si="89"/>
        <v>1142.0702651943734</v>
      </c>
      <c r="C577" s="84">
        <v>219.1</v>
      </c>
      <c r="D577" s="84"/>
      <c r="E577" s="125" t="s">
        <v>833</v>
      </c>
      <c r="F577" s="84"/>
      <c r="G577" s="84"/>
      <c r="H577" s="85">
        <v>98.202102280767278</v>
      </c>
      <c r="I577" s="86">
        <v>100.07857557275646</v>
      </c>
      <c r="J577" s="86">
        <v>12509.821946594557</v>
      </c>
      <c r="K577" s="86">
        <v>0.68832295040152358</v>
      </c>
      <c r="L577" s="87">
        <v>62612925.462177858</v>
      </c>
      <c r="M577" s="88">
        <v>571546.55830376875</v>
      </c>
      <c r="N577" s="88">
        <v>795482.8666666667</v>
      </c>
      <c r="O577" s="89">
        <v>70.746740207588374</v>
      </c>
      <c r="P577" s="88">
        <v>62612925.462177858</v>
      </c>
      <c r="Q577" s="88">
        <v>571546.55830376875</v>
      </c>
      <c r="R577" s="88">
        <v>795482.8666666667</v>
      </c>
      <c r="S577" s="86">
        <v>70.746740207588374</v>
      </c>
      <c r="T577" s="87">
        <v>125225850.92435572</v>
      </c>
      <c r="U577" s="119"/>
      <c r="V577" s="90">
        <v>1</v>
      </c>
      <c r="W577" s="91">
        <v>1</v>
      </c>
      <c r="X577" s="91">
        <v>1</v>
      </c>
      <c r="Y577" s="91">
        <v>1</v>
      </c>
      <c r="Z577" s="91">
        <v>1</v>
      </c>
      <c r="AA577" s="92">
        <v>1</v>
      </c>
      <c r="AB577" s="91">
        <v>1</v>
      </c>
      <c r="AC577" s="91">
        <v>1</v>
      </c>
      <c r="AD577" s="91">
        <v>1</v>
      </c>
      <c r="AE577" s="91">
        <v>1</v>
      </c>
      <c r="AF577" s="90">
        <v>1</v>
      </c>
      <c r="AG577" s="91">
        <v>1</v>
      </c>
      <c r="AH577" s="91">
        <v>1</v>
      </c>
      <c r="AI577" s="91">
        <v>1</v>
      </c>
      <c r="AJ577" s="91">
        <v>1</v>
      </c>
      <c r="AK577" s="210">
        <f t="shared" si="90"/>
        <v>55.022601707684572</v>
      </c>
      <c r="AL577" s="146"/>
      <c r="AM577" s="94"/>
      <c r="AN577" s="95"/>
      <c r="AO577" s="91" t="str">
        <f>IF(head!$F$82="S460","a0","a")</f>
        <v>a</v>
      </c>
      <c r="AP577" s="91">
        <f t="shared" si="91"/>
        <v>0.21</v>
      </c>
      <c r="AQ577" s="96">
        <f>IF(head!F$82="S235",235,IF(head!F$82="S275",275,IF(head!F$82="S355",355,IF(head!F$82="S420",420,460))))^0.5*head!$G$70*1000/(S577*3.1416*210000^0.5)</f>
        <v>1.8498955479430648</v>
      </c>
      <c r="AR577" s="96">
        <f t="shared" si="92"/>
        <v>2.3842958016838081</v>
      </c>
      <c r="AS577" s="96">
        <f t="shared" si="93"/>
        <v>0.2571658775248567</v>
      </c>
      <c r="AT577" s="50">
        <f>IF(head!F$82="S235",235,IF(head!F$82="S275",275,IF(head!F$82="S355",355,IF(head!F$82="S420",420,460))))*AS577*J577/1000</f>
        <v>1142.0702651943734</v>
      </c>
      <c r="AU577" s="207" t="s">
        <v>47</v>
      </c>
      <c r="AV577" s="208" t="s">
        <v>47</v>
      </c>
      <c r="AW577" s="208" t="s">
        <v>47</v>
      </c>
      <c r="AX577" s="209" t="s">
        <v>47</v>
      </c>
      <c r="AY577" s="208" t="s">
        <v>47</v>
      </c>
      <c r="AZ577" s="197">
        <v>0</v>
      </c>
      <c r="BA577" s="97" t="str">
        <f t="shared" si="94"/>
        <v>HF CHS 244,5 x 6,3</v>
      </c>
    </row>
    <row r="578" spans="1:53">
      <c r="A578" s="82" t="s">
        <v>690</v>
      </c>
      <c r="B578" s="83">
        <f t="shared" si="89"/>
        <v>587.01917467797898</v>
      </c>
      <c r="C578" s="84">
        <v>244.5</v>
      </c>
      <c r="D578" s="84"/>
      <c r="E578" s="125">
        <v>6.3</v>
      </c>
      <c r="F578" s="84"/>
      <c r="G578" s="84"/>
      <c r="H578" s="85">
        <v>37.008530087558057</v>
      </c>
      <c r="I578" s="86">
        <v>37.715699452288469</v>
      </c>
      <c r="J578" s="86">
        <v>4714.4624315360588</v>
      </c>
      <c r="K578" s="86">
        <v>0.76811940380270438</v>
      </c>
      <c r="L578" s="87">
        <v>33460266.548476964</v>
      </c>
      <c r="M578" s="88">
        <v>273703.61184848234</v>
      </c>
      <c r="N578" s="88">
        <v>357540.5610000001</v>
      </c>
      <c r="O578" s="89">
        <v>84.245867851189004</v>
      </c>
      <c r="P578" s="88">
        <v>33460266.548476964</v>
      </c>
      <c r="Q578" s="88">
        <v>273703.61184848234</v>
      </c>
      <c r="R578" s="88">
        <v>357540.5610000001</v>
      </c>
      <c r="S578" s="86">
        <v>84.245867851189004</v>
      </c>
      <c r="T578" s="87">
        <v>66920533.096953928</v>
      </c>
      <c r="U578" s="119"/>
      <c r="V578" s="90">
        <v>1</v>
      </c>
      <c r="W578" s="91">
        <v>1</v>
      </c>
      <c r="X578" s="91">
        <v>2</v>
      </c>
      <c r="Y578" s="91">
        <v>2</v>
      </c>
      <c r="Z578" s="91">
        <v>3</v>
      </c>
      <c r="AA578" s="92">
        <v>2</v>
      </c>
      <c r="AB578" s="91">
        <v>2</v>
      </c>
      <c r="AC578" s="91">
        <v>3</v>
      </c>
      <c r="AD578" s="91">
        <v>4</v>
      </c>
      <c r="AE578" s="91">
        <v>4</v>
      </c>
      <c r="AF578" s="90">
        <v>2</v>
      </c>
      <c r="AG578" s="91">
        <v>2</v>
      </c>
      <c r="AH578" s="91">
        <v>3</v>
      </c>
      <c r="AI578" s="91">
        <v>4</v>
      </c>
      <c r="AJ578" s="91">
        <v>4</v>
      </c>
      <c r="AK578" s="210">
        <f t="shared" si="90"/>
        <v>162.92831154292111</v>
      </c>
      <c r="AL578" s="146"/>
      <c r="AM578" s="94"/>
      <c r="AN578" s="95"/>
      <c r="AO578" s="91" t="str">
        <f>IF(head!$F$82="S460","a0","a")</f>
        <v>a</v>
      </c>
      <c r="AP578" s="91">
        <f t="shared" si="91"/>
        <v>0.21</v>
      </c>
      <c r="AQ578" s="96">
        <f>IF(head!F$82="S235",235,IF(head!F$82="S275",275,IF(head!F$82="S355",355,IF(head!F$82="S420",420,460))))^0.5*head!$G$70*1000/(S578*3.1416*210000^0.5)</f>
        <v>1.5534777322571705</v>
      </c>
      <c r="AR578" s="96">
        <f t="shared" si="92"/>
        <v>1.8487616941964433</v>
      </c>
      <c r="AS578" s="96">
        <f t="shared" si="93"/>
        <v>0.3507452151653277</v>
      </c>
      <c r="AT578" s="50">
        <f>IF(head!F$82="S235",235,IF(head!F$82="S275",275,IF(head!F$82="S355",355,IF(head!F$82="S420",420,460))))*AS578*J578/1000</f>
        <v>587.01917467797898</v>
      </c>
      <c r="AU578" s="207" t="s">
        <v>47</v>
      </c>
      <c r="AV578" s="208" t="s">
        <v>47</v>
      </c>
      <c r="AW578" s="208" t="s">
        <v>47</v>
      </c>
      <c r="AX578" s="209" t="s">
        <v>47</v>
      </c>
      <c r="AY578" s="208" t="s">
        <v>47</v>
      </c>
      <c r="AZ578" s="197">
        <v>0</v>
      </c>
      <c r="BA578" s="97" t="str">
        <f t="shared" si="94"/>
        <v>HF CHS 244,5 x 8</v>
      </c>
    </row>
    <row r="579" spans="1:53">
      <c r="A579" s="82" t="s">
        <v>691</v>
      </c>
      <c r="B579" s="83">
        <f t="shared" si="89"/>
        <v>731.27622739415381</v>
      </c>
      <c r="C579" s="84">
        <v>244.5</v>
      </c>
      <c r="D579" s="84"/>
      <c r="E579" s="125">
        <v>8</v>
      </c>
      <c r="F579" s="84"/>
      <c r="G579" s="84"/>
      <c r="H579" s="85">
        <v>46.65956240964632</v>
      </c>
      <c r="I579" s="86">
        <v>47.5511464047351</v>
      </c>
      <c r="J579" s="86">
        <v>5943.8933005918889</v>
      </c>
      <c r="K579" s="86">
        <v>0.76811940380270438</v>
      </c>
      <c r="L579" s="87">
        <v>41604466.90415857</v>
      </c>
      <c r="M579" s="88">
        <v>340322.83766182879</v>
      </c>
      <c r="N579" s="88">
        <v>447628.66666666669</v>
      </c>
      <c r="O579" s="89">
        <v>83.663201289455813</v>
      </c>
      <c r="P579" s="88">
        <v>41604466.90415857</v>
      </c>
      <c r="Q579" s="88">
        <v>340322.83766182879</v>
      </c>
      <c r="R579" s="88">
        <v>447628.66666666669</v>
      </c>
      <c r="S579" s="86">
        <v>83.663201289455813</v>
      </c>
      <c r="T579" s="87">
        <v>83208933.80831714</v>
      </c>
      <c r="U579" s="119"/>
      <c r="V579" s="90">
        <v>1</v>
      </c>
      <c r="W579" s="91">
        <v>1</v>
      </c>
      <c r="X579" s="91">
        <v>1</v>
      </c>
      <c r="Y579" s="91">
        <v>2</v>
      </c>
      <c r="Z579" s="91">
        <v>2</v>
      </c>
      <c r="AA579" s="92">
        <v>1</v>
      </c>
      <c r="AB579" s="91">
        <v>1</v>
      </c>
      <c r="AC579" s="91">
        <v>2</v>
      </c>
      <c r="AD579" s="91">
        <v>3</v>
      </c>
      <c r="AE579" s="91">
        <v>3</v>
      </c>
      <c r="AF579" s="90">
        <v>1</v>
      </c>
      <c r="AG579" s="91">
        <v>1</v>
      </c>
      <c r="AH579" s="91">
        <v>2</v>
      </c>
      <c r="AI579" s="91">
        <v>3</v>
      </c>
      <c r="AJ579" s="91">
        <v>3</v>
      </c>
      <c r="AK579" s="210">
        <f t="shared" si="90"/>
        <v>129.22832980972512</v>
      </c>
      <c r="AL579" s="146"/>
      <c r="AM579" s="94"/>
      <c r="AN579" s="95"/>
      <c r="AO579" s="91" t="str">
        <f>IF(head!$F$82="S460","a0","a")</f>
        <v>a</v>
      </c>
      <c r="AP579" s="91">
        <f t="shared" si="91"/>
        <v>0.21</v>
      </c>
      <c r="AQ579" s="96">
        <f>IF(head!F$82="S235",235,IF(head!F$82="S275",275,IF(head!F$82="S355",355,IF(head!F$82="S420",420,460))))^0.5*head!$G$70*1000/(S579*3.1416*210000^0.5)</f>
        <v>1.5642968201600074</v>
      </c>
      <c r="AR579" s="96">
        <f t="shared" si="92"/>
        <v>1.866763436898156</v>
      </c>
      <c r="AS579" s="96">
        <f t="shared" si="93"/>
        <v>0.3465629227745361</v>
      </c>
      <c r="AT579" s="50">
        <f>IF(head!F$82="S235",235,IF(head!F$82="S275",275,IF(head!F$82="S355",355,IF(head!F$82="S420",420,460))))*AS579*J579/1000</f>
        <v>731.27622739415381</v>
      </c>
      <c r="AU579" s="207" t="s">
        <v>47</v>
      </c>
      <c r="AV579" s="208" t="s">
        <v>47</v>
      </c>
      <c r="AW579" s="208" t="s">
        <v>47</v>
      </c>
      <c r="AX579" s="209" t="s">
        <v>47</v>
      </c>
      <c r="AY579" s="208" t="s">
        <v>47</v>
      </c>
      <c r="AZ579" s="197">
        <v>0</v>
      </c>
      <c r="BA579" s="97" t="str">
        <f t="shared" si="94"/>
        <v>HF CHS 244,5 x 10</v>
      </c>
    </row>
    <row r="580" spans="1:53">
      <c r="A580" s="82" t="s">
        <v>692</v>
      </c>
      <c r="B580" s="83">
        <f t="shared" si="89"/>
        <v>893.63974096613822</v>
      </c>
      <c r="C580" s="84">
        <v>244.5</v>
      </c>
      <c r="D580" s="84"/>
      <c r="E580" s="125" t="s">
        <v>828</v>
      </c>
      <c r="F580" s="84"/>
      <c r="G580" s="84"/>
      <c r="H580" s="85">
        <v>57.831222965444312</v>
      </c>
      <c r="I580" s="86">
        <v>58.93627818134452</v>
      </c>
      <c r="J580" s="86">
        <v>7367.0347726680648</v>
      </c>
      <c r="K580" s="86">
        <v>0.76811940380270438</v>
      </c>
      <c r="L580" s="87">
        <v>50731473.423122108</v>
      </c>
      <c r="M580" s="88">
        <v>414981.37769425032</v>
      </c>
      <c r="N580" s="88">
        <v>550235.83333333326</v>
      </c>
      <c r="O580" s="89">
        <v>82.983620371733608</v>
      </c>
      <c r="P580" s="88">
        <v>50731473.423122108</v>
      </c>
      <c r="Q580" s="88">
        <v>414981.37769425032</v>
      </c>
      <c r="R580" s="88">
        <v>550235.83333333326</v>
      </c>
      <c r="S580" s="86">
        <v>82.983620371733608</v>
      </c>
      <c r="T580" s="87">
        <v>101462946.84624422</v>
      </c>
      <c r="U580" s="119"/>
      <c r="V580" s="90">
        <v>1</v>
      </c>
      <c r="W580" s="91">
        <v>1</v>
      </c>
      <c r="X580" s="91">
        <v>1</v>
      </c>
      <c r="Y580" s="91">
        <v>1</v>
      </c>
      <c r="Z580" s="91">
        <v>1</v>
      </c>
      <c r="AA580" s="92">
        <v>1</v>
      </c>
      <c r="AB580" s="91">
        <v>1</v>
      </c>
      <c r="AC580" s="91">
        <v>2</v>
      </c>
      <c r="AD580" s="91">
        <v>2</v>
      </c>
      <c r="AE580" s="91">
        <v>2</v>
      </c>
      <c r="AF580" s="90">
        <v>1</v>
      </c>
      <c r="AG580" s="91">
        <v>1</v>
      </c>
      <c r="AH580" s="91">
        <v>2</v>
      </c>
      <c r="AI580" s="91">
        <v>2</v>
      </c>
      <c r="AJ580" s="91">
        <v>2</v>
      </c>
      <c r="AK580" s="210">
        <f t="shared" si="90"/>
        <v>104.26439232409382</v>
      </c>
      <c r="AL580" s="146"/>
      <c r="AM580" s="94"/>
      <c r="AN580" s="95"/>
      <c r="AO580" s="91" t="str">
        <f>IF(head!$F$82="S460","a0","a")</f>
        <v>a</v>
      </c>
      <c r="AP580" s="91">
        <f t="shared" si="91"/>
        <v>0.21</v>
      </c>
      <c r="AQ580" s="96">
        <f>IF(head!F$82="S235",235,IF(head!F$82="S275",275,IF(head!F$82="S355",355,IF(head!F$82="S420",420,460))))^0.5*head!$G$70*1000/(S580*3.1416*210000^0.5)</f>
        <v>1.5771073755909728</v>
      </c>
      <c r="AR580" s="96">
        <f t="shared" si="92"/>
        <v>1.888230111508775</v>
      </c>
      <c r="AS580" s="96">
        <f t="shared" si="93"/>
        <v>0.34169718518423214</v>
      </c>
      <c r="AT580" s="50">
        <f>IF(head!F$82="S235",235,IF(head!F$82="S275",275,IF(head!F$82="S355",355,IF(head!F$82="S420",420,460))))*AS580*J580/1000</f>
        <v>893.63974096613822</v>
      </c>
      <c r="AU580" s="207" t="s">
        <v>47</v>
      </c>
      <c r="AV580" s="208" t="s">
        <v>47</v>
      </c>
      <c r="AW580" s="208" t="s">
        <v>47</v>
      </c>
      <c r="AX580" s="209" t="s">
        <v>47</v>
      </c>
      <c r="AY580" s="208" t="s">
        <v>47</v>
      </c>
      <c r="AZ580" s="197">
        <v>0</v>
      </c>
      <c r="BA580" s="97" t="str">
        <f t="shared" si="94"/>
        <v>HF CHS 244,5 x 12,5</v>
      </c>
    </row>
    <row r="581" spans="1:53">
      <c r="A581" s="82" t="s">
        <v>693</v>
      </c>
      <c r="B581" s="83">
        <f t="shared" si="89"/>
        <v>1085.7451609688624</v>
      </c>
      <c r="C581" s="84">
        <v>244.5</v>
      </c>
      <c r="D581" s="84"/>
      <c r="E581" s="125" t="s">
        <v>829</v>
      </c>
      <c r="F581" s="84"/>
      <c r="G581" s="84"/>
      <c r="H581" s="85">
        <v>71.518356758971635</v>
      </c>
      <c r="I581" s="86">
        <v>72.8849495632832</v>
      </c>
      <c r="J581" s="86">
        <v>9110.6186954103996</v>
      </c>
      <c r="K581" s="86">
        <v>0.76811940380270438</v>
      </c>
      <c r="L581" s="87">
        <v>61474184.354115903</v>
      </c>
      <c r="M581" s="88">
        <v>502856.31373509945</v>
      </c>
      <c r="N581" s="88">
        <v>673451.04166666674</v>
      </c>
      <c r="O581" s="89">
        <v>82.143357917728196</v>
      </c>
      <c r="P581" s="88">
        <v>61474184.354115903</v>
      </c>
      <c r="Q581" s="88">
        <v>502856.31373509945</v>
      </c>
      <c r="R581" s="88">
        <v>673451.04166666674</v>
      </c>
      <c r="S581" s="86">
        <v>82.143357917728196</v>
      </c>
      <c r="T581" s="87">
        <v>122948368.70823181</v>
      </c>
      <c r="U581" s="119"/>
      <c r="V581" s="90">
        <v>1</v>
      </c>
      <c r="W581" s="91">
        <v>1</v>
      </c>
      <c r="X581" s="91">
        <v>1</v>
      </c>
      <c r="Y581" s="91">
        <v>1</v>
      </c>
      <c r="Z581" s="91">
        <v>1</v>
      </c>
      <c r="AA581" s="92">
        <v>1</v>
      </c>
      <c r="AB581" s="91">
        <v>1</v>
      </c>
      <c r="AC581" s="91">
        <v>1</v>
      </c>
      <c r="AD581" s="91">
        <v>1</v>
      </c>
      <c r="AE581" s="91">
        <v>2</v>
      </c>
      <c r="AF581" s="90">
        <v>1</v>
      </c>
      <c r="AG581" s="91">
        <v>1</v>
      </c>
      <c r="AH581" s="91">
        <v>1</v>
      </c>
      <c r="AI581" s="91">
        <v>1</v>
      </c>
      <c r="AJ581" s="91">
        <v>2</v>
      </c>
      <c r="AK581" s="210">
        <f t="shared" si="90"/>
        <v>84.310344827586206</v>
      </c>
      <c r="AL581" s="146"/>
      <c r="AM581" s="94"/>
      <c r="AN581" s="95"/>
      <c r="AO581" s="91" t="str">
        <f>IF(head!$F$82="S460","a0","a")</f>
        <v>a</v>
      </c>
      <c r="AP581" s="91">
        <f t="shared" si="91"/>
        <v>0.21</v>
      </c>
      <c r="AQ581" s="96">
        <f>IF(head!F$82="S235",235,IF(head!F$82="S275",275,IF(head!F$82="S355",355,IF(head!F$82="S420",420,460))))^0.5*head!$G$70*1000/(S581*3.1416*210000^0.5)</f>
        <v>1.5932399534065929</v>
      </c>
      <c r="AR581" s="96">
        <f t="shared" si="92"/>
        <v>1.9154969696732134</v>
      </c>
      <c r="AS581" s="96">
        <f t="shared" si="93"/>
        <v>0.33570026091559024</v>
      </c>
      <c r="AT581" s="50">
        <f>IF(head!F$82="S235",235,IF(head!F$82="S275",275,IF(head!F$82="S355",355,IF(head!F$82="S420",420,460))))*AS581*J581/1000</f>
        <v>1085.7451609688624</v>
      </c>
      <c r="AU581" s="207" t="s">
        <v>47</v>
      </c>
      <c r="AV581" s="208" t="s">
        <v>47</v>
      </c>
      <c r="AW581" s="208" t="s">
        <v>47</v>
      </c>
      <c r="AX581" s="209" t="s">
        <v>47</v>
      </c>
      <c r="AY581" s="208" t="s">
        <v>47</v>
      </c>
      <c r="AZ581" s="197">
        <v>0</v>
      </c>
      <c r="BA581" s="97" t="str">
        <f t="shared" si="94"/>
        <v>HF CHS 244,5 x 14,2</v>
      </c>
    </row>
    <row r="582" spans="1:53">
      <c r="A582" s="82" t="s">
        <v>694</v>
      </c>
      <c r="B582" s="83">
        <f t="shared" si="89"/>
        <v>1209.6979903753274</v>
      </c>
      <c r="C582" s="84">
        <v>244.5</v>
      </c>
      <c r="D582" s="84"/>
      <c r="E582" s="125" t="s">
        <v>830</v>
      </c>
      <c r="F582" s="84"/>
      <c r="G582" s="84"/>
      <c r="H582" s="85">
        <v>80.649524611929181</v>
      </c>
      <c r="I582" s="86">
        <v>82.190598330628461</v>
      </c>
      <c r="J582" s="86">
        <v>10273.824791328558</v>
      </c>
      <c r="K582" s="86">
        <v>0.76811940380270438</v>
      </c>
      <c r="L582" s="87">
        <v>68371957.244704857</v>
      </c>
      <c r="M582" s="88">
        <v>559279.81386261643</v>
      </c>
      <c r="N582" s="88">
        <v>754095.30733333342</v>
      </c>
      <c r="O582" s="89">
        <v>81.577976501014049</v>
      </c>
      <c r="P582" s="88">
        <v>68371957.244704857</v>
      </c>
      <c r="Q582" s="88">
        <v>559279.81386261643</v>
      </c>
      <c r="R582" s="88">
        <v>754095.30733333342</v>
      </c>
      <c r="S582" s="86">
        <v>81.577976501014049</v>
      </c>
      <c r="T582" s="87">
        <v>136743914.48940971</v>
      </c>
      <c r="U582" s="119"/>
      <c r="V582" s="90">
        <v>1</v>
      </c>
      <c r="W582" s="91">
        <v>1</v>
      </c>
      <c r="X582" s="91">
        <v>1</v>
      </c>
      <c r="Y582" s="91">
        <v>1</v>
      </c>
      <c r="Z582" s="91">
        <v>1</v>
      </c>
      <c r="AA582" s="92">
        <v>1</v>
      </c>
      <c r="AB582" s="91">
        <v>1</v>
      </c>
      <c r="AC582" s="91">
        <v>1</v>
      </c>
      <c r="AD582" s="91">
        <v>1</v>
      </c>
      <c r="AE582" s="91">
        <v>1</v>
      </c>
      <c r="AF582" s="90">
        <v>1</v>
      </c>
      <c r="AG582" s="91">
        <v>1</v>
      </c>
      <c r="AH582" s="91">
        <v>1</v>
      </c>
      <c r="AI582" s="91">
        <v>1</v>
      </c>
      <c r="AJ582" s="91">
        <v>1</v>
      </c>
      <c r="AK582" s="210">
        <f t="shared" si="90"/>
        <v>74.764697608141233</v>
      </c>
      <c r="AL582" s="146"/>
      <c r="AM582" s="94"/>
      <c r="AN582" s="95"/>
      <c r="AO582" s="91" t="str">
        <f>IF(head!$F$82="S460","a0","a")</f>
        <v>a</v>
      </c>
      <c r="AP582" s="91">
        <f t="shared" si="91"/>
        <v>0.21</v>
      </c>
      <c r="AQ582" s="96">
        <f>IF(head!F$82="S235",235,IF(head!F$82="S275",275,IF(head!F$82="S355",355,IF(head!F$82="S420",420,460))))^0.5*head!$G$70*1000/(S582*3.1416*210000^0.5)</f>
        <v>1.6042820054488056</v>
      </c>
      <c r="AR582" s="96">
        <f t="shared" si="92"/>
        <v>1.9343099870755454</v>
      </c>
      <c r="AS582" s="96">
        <f t="shared" si="93"/>
        <v>0.33167783586930266</v>
      </c>
      <c r="AT582" s="50">
        <f>IF(head!F$82="S235",235,IF(head!F$82="S275",275,IF(head!F$82="S355",355,IF(head!F$82="S420",420,460))))*AS582*J582/1000</f>
        <v>1209.6979903753274</v>
      </c>
      <c r="AU582" s="207" t="s">
        <v>47</v>
      </c>
      <c r="AV582" s="208" t="s">
        <v>47</v>
      </c>
      <c r="AW582" s="208" t="s">
        <v>47</v>
      </c>
      <c r="AX582" s="209" t="s">
        <v>47</v>
      </c>
      <c r="AY582" s="208" t="s">
        <v>47</v>
      </c>
      <c r="AZ582" s="197">
        <v>0</v>
      </c>
      <c r="BA582" s="97" t="str">
        <f t="shared" si="94"/>
        <v>HF CHS 244,5 x 16</v>
      </c>
    </row>
    <row r="583" spans="1:53">
      <c r="A583" s="82" t="s">
        <v>695</v>
      </c>
      <c r="B583" s="83">
        <f t="shared" si="89"/>
        <v>1335.2250586398527</v>
      </c>
      <c r="C583" s="84">
        <v>244.5</v>
      </c>
      <c r="D583" s="84"/>
      <c r="E583" s="125" t="s">
        <v>831</v>
      </c>
      <c r="F583" s="84"/>
      <c r="G583" s="84"/>
      <c r="H583" s="85">
        <v>90.162452520965616</v>
      </c>
      <c r="I583" s="86">
        <v>91.885301932194253</v>
      </c>
      <c r="J583" s="86">
        <v>11485.662741524284</v>
      </c>
      <c r="K583" s="86">
        <v>0.76811940380270438</v>
      </c>
      <c r="L583" s="87">
        <v>75329078.017247692</v>
      </c>
      <c r="M583" s="88">
        <v>616188.77723719995</v>
      </c>
      <c r="N583" s="88">
        <v>836761.33333333337</v>
      </c>
      <c r="O583" s="89">
        <v>80.984759368661457</v>
      </c>
      <c r="P583" s="88">
        <v>75329078.017247692</v>
      </c>
      <c r="Q583" s="88">
        <v>616188.77723719995</v>
      </c>
      <c r="R583" s="88">
        <v>836761.33333333337</v>
      </c>
      <c r="S583" s="86">
        <v>80.984759368661457</v>
      </c>
      <c r="T583" s="87">
        <v>150658156.03449538</v>
      </c>
      <c r="U583" s="119"/>
      <c r="V583" s="90">
        <v>1</v>
      </c>
      <c r="W583" s="91">
        <v>1</v>
      </c>
      <c r="X583" s="91">
        <v>1</v>
      </c>
      <c r="Y583" s="91">
        <v>1</v>
      </c>
      <c r="Z583" s="91">
        <v>1</v>
      </c>
      <c r="AA583" s="92">
        <v>1</v>
      </c>
      <c r="AB583" s="91">
        <v>1</v>
      </c>
      <c r="AC583" s="91">
        <v>1</v>
      </c>
      <c r="AD583" s="91">
        <v>1</v>
      </c>
      <c r="AE583" s="91">
        <v>1</v>
      </c>
      <c r="AF583" s="90">
        <v>1</v>
      </c>
      <c r="AG583" s="91">
        <v>1</v>
      </c>
      <c r="AH583" s="91">
        <v>1</v>
      </c>
      <c r="AI583" s="91">
        <v>1</v>
      </c>
      <c r="AJ583" s="91">
        <v>1</v>
      </c>
      <c r="AK583" s="210">
        <f t="shared" si="90"/>
        <v>66.876367614879641</v>
      </c>
      <c r="AL583" s="146"/>
      <c r="AM583" s="94"/>
      <c r="AN583" s="95"/>
      <c r="AO583" s="91" t="str">
        <f>IF(head!$F$82="S460","a0","a")</f>
        <v>a</v>
      </c>
      <c r="AP583" s="91">
        <f t="shared" si="91"/>
        <v>0.21</v>
      </c>
      <c r="AQ583" s="96">
        <f>IF(head!F$82="S235",235,IF(head!F$82="S275",275,IF(head!F$82="S355",355,IF(head!F$82="S420",420,460))))^0.5*head!$G$70*1000/(S583*3.1416*210000^0.5)</f>
        <v>1.6160334458207515</v>
      </c>
      <c r="AR583" s="96">
        <f t="shared" si="92"/>
        <v>1.9544655608168247</v>
      </c>
      <c r="AS583" s="96">
        <f t="shared" si="93"/>
        <v>0.32746890039556564</v>
      </c>
      <c r="AT583" s="50">
        <f>IF(head!F$82="S235",235,IF(head!F$82="S275",275,IF(head!F$82="S355",355,IF(head!F$82="S420",420,460))))*AS583*J583/1000</f>
        <v>1335.2250586398527</v>
      </c>
      <c r="AU583" s="207" t="s">
        <v>47</v>
      </c>
      <c r="AV583" s="208" t="s">
        <v>47</v>
      </c>
      <c r="AW583" s="208" t="s">
        <v>47</v>
      </c>
      <c r="AX583" s="209" t="s">
        <v>47</v>
      </c>
      <c r="AY583" s="208" t="s">
        <v>47</v>
      </c>
      <c r="AZ583" s="197">
        <v>0</v>
      </c>
      <c r="BA583" s="97" t="str">
        <f t="shared" si="94"/>
        <v>HF CHS 244,5 x 20</v>
      </c>
    </row>
    <row r="584" spans="1:53">
      <c r="A584" s="82" t="s">
        <v>696</v>
      </c>
      <c r="B584" s="83">
        <f t="shared" si="89"/>
        <v>1593.9271278815677</v>
      </c>
      <c r="C584" s="84">
        <v>244.5</v>
      </c>
      <c r="D584" s="84"/>
      <c r="E584" s="125" t="s">
        <v>833</v>
      </c>
      <c r="F584" s="84"/>
      <c r="G584" s="84"/>
      <c r="H584" s="85">
        <v>110.73014546475264</v>
      </c>
      <c r="I584" s="86">
        <v>112.84600811694537</v>
      </c>
      <c r="J584" s="86">
        <v>14105.75101461817</v>
      </c>
      <c r="K584" s="86">
        <v>0.76811940380270438</v>
      </c>
      <c r="L584" s="87">
        <v>89571959.747544587</v>
      </c>
      <c r="M584" s="88">
        <v>732694.96726007841</v>
      </c>
      <c r="N584" s="88">
        <v>1010671.6666666666</v>
      </c>
      <c r="O584" s="89">
        <v>79.687083332244001</v>
      </c>
      <c r="P584" s="88">
        <v>89571959.747544587</v>
      </c>
      <c r="Q584" s="88">
        <v>732694.96726007841</v>
      </c>
      <c r="R584" s="88">
        <v>1010671.6666666666</v>
      </c>
      <c r="S584" s="86">
        <v>79.687083332244001</v>
      </c>
      <c r="T584" s="87">
        <v>179143919.49508917</v>
      </c>
      <c r="U584" s="119"/>
      <c r="V584" s="90">
        <v>1</v>
      </c>
      <c r="W584" s="91">
        <v>1</v>
      </c>
      <c r="X584" s="91">
        <v>1</v>
      </c>
      <c r="Y584" s="91">
        <v>1</v>
      </c>
      <c r="Z584" s="91">
        <v>1</v>
      </c>
      <c r="AA584" s="92">
        <v>1</v>
      </c>
      <c r="AB584" s="91">
        <v>1</v>
      </c>
      <c r="AC584" s="91">
        <v>1</v>
      </c>
      <c r="AD584" s="91">
        <v>1</v>
      </c>
      <c r="AE584" s="91">
        <v>1</v>
      </c>
      <c r="AF584" s="90">
        <v>1</v>
      </c>
      <c r="AG584" s="91">
        <v>1</v>
      </c>
      <c r="AH584" s="91">
        <v>1</v>
      </c>
      <c r="AI584" s="91">
        <v>1</v>
      </c>
      <c r="AJ584" s="91">
        <v>1</v>
      </c>
      <c r="AK584" s="210">
        <f t="shared" si="90"/>
        <v>54.454342984409799</v>
      </c>
      <c r="AL584" s="146"/>
      <c r="AM584" s="94"/>
      <c r="AN584" s="95"/>
      <c r="AO584" s="91" t="str">
        <f>IF(head!$F$82="S460","a0","a")</f>
        <v>a</v>
      </c>
      <c r="AP584" s="91">
        <f t="shared" si="91"/>
        <v>0.21</v>
      </c>
      <c r="AQ584" s="96">
        <f>IF(head!F$82="S235",235,IF(head!F$82="S275",275,IF(head!F$82="S355",355,IF(head!F$82="S420",420,460))))^0.5*head!$G$70*1000/(S584*3.1416*210000^0.5)</f>
        <v>1.6423499803078676</v>
      </c>
      <c r="AR584" s="96">
        <f t="shared" si="92"/>
        <v>2.0001034768409527</v>
      </c>
      <c r="AS584" s="96">
        <f t="shared" si="93"/>
        <v>0.31830531864941697</v>
      </c>
      <c r="AT584" s="50">
        <f>IF(head!F$82="S235",235,IF(head!F$82="S275",275,IF(head!F$82="S355",355,IF(head!F$82="S420",420,460))))*AS584*J584/1000</f>
        <v>1593.9271278815677</v>
      </c>
      <c r="AU584" s="207" t="s">
        <v>47</v>
      </c>
      <c r="AV584" s="208" t="s">
        <v>47</v>
      </c>
      <c r="AW584" s="208" t="s">
        <v>47</v>
      </c>
      <c r="AX584" s="209" t="s">
        <v>47</v>
      </c>
      <c r="AY584" s="208" t="s">
        <v>47</v>
      </c>
      <c r="AZ584" s="197">
        <v>0</v>
      </c>
      <c r="BA584" s="97" t="str">
        <f t="shared" si="94"/>
        <v>HF CHS 273 x 5,6</v>
      </c>
    </row>
    <row r="585" spans="1:53">
      <c r="A585" s="82" t="s">
        <v>697</v>
      </c>
      <c r="B585" s="83">
        <f t="shared" si="89"/>
        <v>711.10042665795459</v>
      </c>
      <c r="C585" s="84">
        <v>273</v>
      </c>
      <c r="D585" s="84"/>
      <c r="E585" s="125">
        <v>5.6</v>
      </c>
      <c r="F585" s="84"/>
      <c r="G585" s="84"/>
      <c r="H585" s="85">
        <v>36.929120050053236</v>
      </c>
      <c r="I585" s="86">
        <v>37.634772025531959</v>
      </c>
      <c r="J585" s="86">
        <v>4704.3465031914957</v>
      </c>
      <c r="K585" s="86">
        <v>0.85765479443001358</v>
      </c>
      <c r="L585" s="87">
        <v>42065160.910110123</v>
      </c>
      <c r="M585" s="88">
        <v>308169.67699714378</v>
      </c>
      <c r="N585" s="88">
        <v>400473.99466666637</v>
      </c>
      <c r="O585" s="89">
        <v>94.560906298533354</v>
      </c>
      <c r="P585" s="88">
        <v>42065160.910110123</v>
      </c>
      <c r="Q585" s="88">
        <v>308169.67699714378</v>
      </c>
      <c r="R585" s="88">
        <v>400473.99466666637</v>
      </c>
      <c r="S585" s="86">
        <v>94.560906298533354</v>
      </c>
      <c r="T585" s="87">
        <v>84130321.820220247</v>
      </c>
      <c r="U585" s="119"/>
      <c r="V585" s="90">
        <v>1</v>
      </c>
      <c r="W585" s="91">
        <v>2</v>
      </c>
      <c r="X585" s="91">
        <v>3</v>
      </c>
      <c r="Y585" s="91">
        <v>3</v>
      </c>
      <c r="Z585" s="91">
        <v>4</v>
      </c>
      <c r="AA585" s="92">
        <v>2</v>
      </c>
      <c r="AB585" s="91">
        <v>3</v>
      </c>
      <c r="AC585" s="91">
        <v>4</v>
      </c>
      <c r="AD585" s="91">
        <v>4</v>
      </c>
      <c r="AE585" s="91">
        <v>4</v>
      </c>
      <c r="AF585" s="90">
        <v>2</v>
      </c>
      <c r="AG585" s="91">
        <v>3</v>
      </c>
      <c r="AH585" s="91">
        <v>4</v>
      </c>
      <c r="AI585" s="91">
        <v>4</v>
      </c>
      <c r="AJ585" s="91">
        <v>4</v>
      </c>
      <c r="AK585" s="210">
        <f t="shared" si="90"/>
        <v>182.31114435302933</v>
      </c>
      <c r="AL585" s="146"/>
      <c r="AM585" s="94"/>
      <c r="AN585" s="95"/>
      <c r="AO585" s="91" t="str">
        <f>IF(head!$F$82="S460","a0","a")</f>
        <v>a</v>
      </c>
      <c r="AP585" s="91">
        <f t="shared" si="91"/>
        <v>0.21</v>
      </c>
      <c r="AQ585" s="96">
        <f>IF(head!F$82="S235",235,IF(head!F$82="S275",275,IF(head!F$82="S355",355,IF(head!F$82="S420",420,460))))^0.5*head!$G$70*1000/(S585*3.1416*210000^0.5)</f>
        <v>1.3840188812100274</v>
      </c>
      <c r="AR585" s="96">
        <f t="shared" si="92"/>
        <v>1.5820761142999809</v>
      </c>
      <c r="AS585" s="96">
        <f t="shared" si="93"/>
        <v>0.42579767286354386</v>
      </c>
      <c r="AT585" s="50">
        <f>IF(head!F$82="S235",235,IF(head!F$82="S275",275,IF(head!F$82="S355",355,IF(head!F$82="S420",420,460))))*AS585*J585/1000</f>
        <v>711.10042665795459</v>
      </c>
      <c r="AU585" s="207" t="s">
        <v>47</v>
      </c>
      <c r="AV585" s="208" t="s">
        <v>47</v>
      </c>
      <c r="AW585" s="208" t="s">
        <v>47</v>
      </c>
      <c r="AX585" s="209" t="s">
        <v>47</v>
      </c>
      <c r="AY585" s="208" t="s">
        <v>47</v>
      </c>
      <c r="AZ585" s="197">
        <v>0</v>
      </c>
      <c r="BA585" s="97" t="str">
        <f t="shared" si="94"/>
        <v>HF CHS 273 x 6,3</v>
      </c>
    </row>
    <row r="586" spans="1:53">
      <c r="A586" s="82" t="s">
        <v>698</v>
      </c>
      <c r="B586" s="83">
        <f t="shared" si="89"/>
        <v>794.57738824413309</v>
      </c>
      <c r="C586" s="84">
        <v>273</v>
      </c>
      <c r="D586" s="84"/>
      <c r="E586" s="125" t="s">
        <v>824</v>
      </c>
      <c r="F586" s="84"/>
      <c r="G586" s="84"/>
      <c r="H586" s="85">
        <v>41.436502831031703</v>
      </c>
      <c r="I586" s="86">
        <v>42.228283139904917</v>
      </c>
      <c r="J586" s="86">
        <v>5278.5353924881147</v>
      </c>
      <c r="K586" s="86">
        <v>0.85765479443001358</v>
      </c>
      <c r="L586" s="87">
        <v>46958233.545390204</v>
      </c>
      <c r="M586" s="88">
        <v>344016.36296989158</v>
      </c>
      <c r="N586" s="88">
        <v>448195.35600000061</v>
      </c>
      <c r="O586" s="89">
        <v>94.318993315238458</v>
      </c>
      <c r="P586" s="88">
        <v>46958233.545390204</v>
      </c>
      <c r="Q586" s="88">
        <v>344016.36296989158</v>
      </c>
      <c r="R586" s="88">
        <v>448195.35600000061</v>
      </c>
      <c r="S586" s="86">
        <v>94.318993315238458</v>
      </c>
      <c r="T586" s="87">
        <v>93916467.090780407</v>
      </c>
      <c r="U586" s="119"/>
      <c r="V586" s="90">
        <v>1</v>
      </c>
      <c r="W586" s="91">
        <v>2</v>
      </c>
      <c r="X586" s="91">
        <v>2</v>
      </c>
      <c r="Y586" s="91">
        <v>3</v>
      </c>
      <c r="Z586" s="91">
        <v>3</v>
      </c>
      <c r="AA586" s="92">
        <v>2</v>
      </c>
      <c r="AB586" s="91">
        <v>3</v>
      </c>
      <c r="AC586" s="91">
        <v>4</v>
      </c>
      <c r="AD586" s="91">
        <v>4</v>
      </c>
      <c r="AE586" s="91">
        <v>4</v>
      </c>
      <c r="AF586" s="90">
        <v>2</v>
      </c>
      <c r="AG586" s="91">
        <v>3</v>
      </c>
      <c r="AH586" s="91">
        <v>4</v>
      </c>
      <c r="AI586" s="91">
        <v>4</v>
      </c>
      <c r="AJ586" s="91">
        <v>4</v>
      </c>
      <c r="AK586" s="210">
        <f t="shared" si="90"/>
        <v>162.47969003874491</v>
      </c>
      <c r="AL586" s="146"/>
      <c r="AM586" s="94"/>
      <c r="AN586" s="95"/>
      <c r="AO586" s="91" t="str">
        <f>IF(head!$F$82="S460","a0","a")</f>
        <v>a</v>
      </c>
      <c r="AP586" s="91">
        <f t="shared" si="91"/>
        <v>0.21</v>
      </c>
      <c r="AQ586" s="96">
        <f>IF(head!F$82="S235",235,IF(head!F$82="S275",275,IF(head!F$82="S355",355,IF(head!F$82="S420",420,460))))^0.5*head!$G$70*1000/(S586*3.1416*210000^0.5)</f>
        <v>1.3875686660913287</v>
      </c>
      <c r="AR586" s="96">
        <f t="shared" si="92"/>
        <v>1.5873681114988241</v>
      </c>
      <c r="AS586" s="96">
        <f t="shared" si="93"/>
        <v>0.424027878500773</v>
      </c>
      <c r="AT586" s="50">
        <f>IF(head!F$82="S235",235,IF(head!F$82="S275",275,IF(head!F$82="S355",355,IF(head!F$82="S420",420,460))))*AS586*J586/1000</f>
        <v>794.57738824413309</v>
      </c>
      <c r="AU586" s="207" t="s">
        <v>47</v>
      </c>
      <c r="AV586" s="208" t="s">
        <v>47</v>
      </c>
      <c r="AW586" s="208" t="s">
        <v>47</v>
      </c>
      <c r="AX586" s="209" t="s">
        <v>47</v>
      </c>
      <c r="AY586" s="208" t="s">
        <v>47</v>
      </c>
      <c r="AZ586" s="197">
        <v>0</v>
      </c>
      <c r="BA586" s="97" t="str">
        <f t="shared" si="94"/>
        <v>HF CHS 273 x 8</v>
      </c>
    </row>
    <row r="587" spans="1:53">
      <c r="A587" s="82" t="s">
        <v>699</v>
      </c>
      <c r="B587" s="83">
        <f t="shared" si="89"/>
        <v>992.441770643871</v>
      </c>
      <c r="C587" s="84">
        <v>273</v>
      </c>
      <c r="D587" s="84"/>
      <c r="E587" s="125" t="s">
        <v>826</v>
      </c>
      <c r="F587" s="84"/>
      <c r="G587" s="84"/>
      <c r="H587" s="85">
        <v>52.282384941041336</v>
      </c>
      <c r="I587" s="86">
        <v>53.281411404882888</v>
      </c>
      <c r="J587" s="86">
        <v>6660.1764256103615</v>
      </c>
      <c r="K587" s="86">
        <v>0.85765479443001358</v>
      </c>
      <c r="L587" s="87">
        <v>58517142.597465836</v>
      </c>
      <c r="M587" s="88">
        <v>428697.01536605012</v>
      </c>
      <c r="N587" s="88">
        <v>561970.66666666674</v>
      </c>
      <c r="O587" s="89">
        <v>93.734332024077503</v>
      </c>
      <c r="P587" s="88">
        <v>58517142.597465836</v>
      </c>
      <c r="Q587" s="88">
        <v>428697.01536605012</v>
      </c>
      <c r="R587" s="88">
        <v>561970.66666666674</v>
      </c>
      <c r="S587" s="86">
        <v>93.734332024077503</v>
      </c>
      <c r="T587" s="87">
        <v>117034285.19493167</v>
      </c>
      <c r="U587" s="119"/>
      <c r="V587" s="90">
        <v>1</v>
      </c>
      <c r="W587" s="91">
        <v>1</v>
      </c>
      <c r="X587" s="91">
        <v>2</v>
      </c>
      <c r="Y587" s="91">
        <v>2</v>
      </c>
      <c r="Z587" s="91">
        <v>2</v>
      </c>
      <c r="AA587" s="92">
        <v>1</v>
      </c>
      <c r="AB587" s="91">
        <v>2</v>
      </c>
      <c r="AC587" s="91">
        <v>3</v>
      </c>
      <c r="AD587" s="91">
        <v>3</v>
      </c>
      <c r="AE587" s="91">
        <v>4</v>
      </c>
      <c r="AF587" s="90">
        <v>1</v>
      </c>
      <c r="AG587" s="91">
        <v>2</v>
      </c>
      <c r="AH587" s="91">
        <v>3</v>
      </c>
      <c r="AI587" s="91">
        <v>3</v>
      </c>
      <c r="AJ587" s="91">
        <v>4</v>
      </c>
      <c r="AK587" s="210">
        <f t="shared" si="90"/>
        <v>128.77358490566039</v>
      </c>
      <c r="AL587" s="146"/>
      <c r="AM587" s="94"/>
      <c r="AN587" s="95"/>
      <c r="AO587" s="91" t="str">
        <f>IF(head!$F$82="S460","a0","a")</f>
        <v>a</v>
      </c>
      <c r="AP587" s="91">
        <f t="shared" si="91"/>
        <v>0.21</v>
      </c>
      <c r="AQ587" s="96">
        <f>IF(head!F$82="S235",235,IF(head!F$82="S275",275,IF(head!F$82="S355",355,IF(head!F$82="S420",420,460))))^0.5*head!$G$70*1000/(S587*3.1416*210000^0.5)</f>
        <v>1.3962235278732746</v>
      </c>
      <c r="AR587" s="96">
        <f t="shared" si="92"/>
        <v>1.6003235403201403</v>
      </c>
      <c r="AS587" s="96">
        <f t="shared" si="93"/>
        <v>0.41975023526134769</v>
      </c>
      <c r="AT587" s="50">
        <f>IF(head!F$82="S235",235,IF(head!F$82="S275",275,IF(head!F$82="S355",355,IF(head!F$82="S420",420,460))))*AS587*J587/1000</f>
        <v>992.441770643871</v>
      </c>
      <c r="AU587" s="207" t="s">
        <v>47</v>
      </c>
      <c r="AV587" s="208" t="s">
        <v>47</v>
      </c>
      <c r="AW587" s="208" t="s">
        <v>47</v>
      </c>
      <c r="AX587" s="209" t="s">
        <v>47</v>
      </c>
      <c r="AY587" s="208" t="s">
        <v>47</v>
      </c>
      <c r="AZ587" s="197">
        <v>0</v>
      </c>
      <c r="BA587" s="97" t="str">
        <f t="shared" si="94"/>
        <v>HF CHS 273 x 10</v>
      </c>
    </row>
    <row r="588" spans="1:53">
      <c r="A588" s="82" t="s">
        <v>700</v>
      </c>
      <c r="B588" s="83">
        <f t="shared" si="89"/>
        <v>1216.5408930847316</v>
      </c>
      <c r="C588" s="84">
        <v>273</v>
      </c>
      <c r="D588" s="84"/>
      <c r="E588" s="125">
        <v>10</v>
      </c>
      <c r="F588" s="84"/>
      <c r="G588" s="84"/>
      <c r="H588" s="85">
        <v>64.859751129688064</v>
      </c>
      <c r="I588" s="86">
        <v>66.099109431529243</v>
      </c>
      <c r="J588" s="86">
        <v>8262.3886789411554</v>
      </c>
      <c r="K588" s="86">
        <v>0.85765479443001358</v>
      </c>
      <c r="L588" s="87">
        <v>71540925.175196871</v>
      </c>
      <c r="M588" s="88">
        <v>524109.34194283426</v>
      </c>
      <c r="N588" s="88">
        <v>692023.33333333326</v>
      </c>
      <c r="O588" s="89">
        <v>93.051732923143362</v>
      </c>
      <c r="P588" s="88">
        <v>71540925.175196871</v>
      </c>
      <c r="Q588" s="88">
        <v>524109.34194283426</v>
      </c>
      <c r="R588" s="88">
        <v>692023.33333333326</v>
      </c>
      <c r="S588" s="86">
        <v>93.051732923143362</v>
      </c>
      <c r="T588" s="87">
        <v>143081850.35039374</v>
      </c>
      <c r="U588" s="119"/>
      <c r="V588" s="90">
        <v>1</v>
      </c>
      <c r="W588" s="91">
        <v>1</v>
      </c>
      <c r="X588" s="91">
        <v>1</v>
      </c>
      <c r="Y588" s="91">
        <v>1</v>
      </c>
      <c r="Z588" s="91">
        <v>2</v>
      </c>
      <c r="AA588" s="92">
        <v>1</v>
      </c>
      <c r="AB588" s="91">
        <v>1</v>
      </c>
      <c r="AC588" s="91">
        <v>2</v>
      </c>
      <c r="AD588" s="91">
        <v>2</v>
      </c>
      <c r="AE588" s="91">
        <v>3</v>
      </c>
      <c r="AF588" s="90">
        <v>1</v>
      </c>
      <c r="AG588" s="91">
        <v>1</v>
      </c>
      <c r="AH588" s="91">
        <v>2</v>
      </c>
      <c r="AI588" s="91">
        <v>2</v>
      </c>
      <c r="AJ588" s="91">
        <v>3</v>
      </c>
      <c r="AK588" s="210">
        <f t="shared" si="90"/>
        <v>103.8022813688213</v>
      </c>
      <c r="AL588" s="146"/>
      <c r="AM588" s="94"/>
      <c r="AN588" s="95"/>
      <c r="AO588" s="91" t="str">
        <f>IF(head!$F$82="S460","a0","a")</f>
        <v>a</v>
      </c>
      <c r="AP588" s="91">
        <f t="shared" si="91"/>
        <v>0.21</v>
      </c>
      <c r="AQ588" s="96">
        <f>IF(head!F$82="S235",235,IF(head!F$82="S275",275,IF(head!F$82="S355",355,IF(head!F$82="S420",420,460))))^0.5*head!$G$70*1000/(S588*3.1416*210000^0.5)</f>
        <v>1.4064657973602552</v>
      </c>
      <c r="AR588" s="96">
        <f t="shared" si="92"/>
        <v>1.615751928294936</v>
      </c>
      <c r="AS588" s="96">
        <f t="shared" si="93"/>
        <v>0.41475605764015211</v>
      </c>
      <c r="AT588" s="50">
        <f>IF(head!F$82="S235",235,IF(head!F$82="S275",275,IF(head!F$82="S355",355,IF(head!F$82="S420",420,460))))*AS588*J588/1000</f>
        <v>1216.5408930847316</v>
      </c>
      <c r="AU588" s="207" t="s">
        <v>47</v>
      </c>
      <c r="AV588" s="208" t="s">
        <v>47</v>
      </c>
      <c r="AW588" s="208" t="s">
        <v>47</v>
      </c>
      <c r="AX588" s="209" t="s">
        <v>47</v>
      </c>
      <c r="AY588" s="208" t="s">
        <v>47</v>
      </c>
      <c r="AZ588" s="197">
        <v>0</v>
      </c>
      <c r="BA588" s="97" t="str">
        <f t="shared" si="94"/>
        <v>HF CHS 273 x 12,5</v>
      </c>
    </row>
    <row r="589" spans="1:53">
      <c r="A589" s="82" t="s">
        <v>701</v>
      </c>
      <c r="B589" s="83">
        <f t="shared" si="89"/>
        <v>1483.7716269111918</v>
      </c>
      <c r="C589" s="84">
        <v>273</v>
      </c>
      <c r="D589" s="84"/>
      <c r="E589" s="125" t="s">
        <v>829</v>
      </c>
      <c r="F589" s="84"/>
      <c r="G589" s="84"/>
      <c r="H589" s="85">
        <v>80.304016964276343</v>
      </c>
      <c r="I589" s="86">
        <v>81.838488626014112</v>
      </c>
      <c r="J589" s="86">
        <v>10229.811078251763</v>
      </c>
      <c r="K589" s="86">
        <v>0.85765479443001358</v>
      </c>
      <c r="L589" s="87">
        <v>86974493.150488883</v>
      </c>
      <c r="M589" s="88">
        <v>637175.77399625571</v>
      </c>
      <c r="N589" s="88">
        <v>848904.16666666674</v>
      </c>
      <c r="O589" s="89">
        <v>92.206629371211704</v>
      </c>
      <c r="P589" s="88">
        <v>86974493.150488883</v>
      </c>
      <c r="Q589" s="88">
        <v>637175.77399625571</v>
      </c>
      <c r="R589" s="88">
        <v>848904.16666666674</v>
      </c>
      <c r="S589" s="86">
        <v>92.206629371211704</v>
      </c>
      <c r="T589" s="87">
        <v>173948986.30097777</v>
      </c>
      <c r="U589" s="119"/>
      <c r="V589" s="90">
        <v>1</v>
      </c>
      <c r="W589" s="91">
        <v>1</v>
      </c>
      <c r="X589" s="91">
        <v>1</v>
      </c>
      <c r="Y589" s="91">
        <v>1</v>
      </c>
      <c r="Z589" s="91">
        <v>1</v>
      </c>
      <c r="AA589" s="92">
        <v>1</v>
      </c>
      <c r="AB589" s="91">
        <v>1</v>
      </c>
      <c r="AC589" s="91">
        <v>1</v>
      </c>
      <c r="AD589" s="91">
        <v>2</v>
      </c>
      <c r="AE589" s="91">
        <v>2</v>
      </c>
      <c r="AF589" s="90">
        <v>1</v>
      </c>
      <c r="AG589" s="91">
        <v>1</v>
      </c>
      <c r="AH589" s="91">
        <v>1</v>
      </c>
      <c r="AI589" s="91">
        <v>2</v>
      </c>
      <c r="AJ589" s="91">
        <v>2</v>
      </c>
      <c r="AK589" s="210">
        <f t="shared" si="90"/>
        <v>83.838771593090215</v>
      </c>
      <c r="AL589" s="146"/>
      <c r="AM589" s="94"/>
      <c r="AN589" s="95"/>
      <c r="AO589" s="91" t="str">
        <f>IF(head!$F$82="S460","a0","a")</f>
        <v>a</v>
      </c>
      <c r="AP589" s="91">
        <f t="shared" si="91"/>
        <v>0.21</v>
      </c>
      <c r="AQ589" s="96">
        <f>IF(head!F$82="S235",235,IF(head!F$82="S275",275,IF(head!F$82="S355",355,IF(head!F$82="S420",420,460))))^0.5*head!$G$70*1000/(S589*3.1416*210000^0.5)</f>
        <v>1.4193565108493513</v>
      </c>
      <c r="AR589" s="96">
        <f t="shared" si="92"/>
        <v>1.6353188860844043</v>
      </c>
      <c r="AS589" s="96">
        <f t="shared" si="93"/>
        <v>0.40857434743356114</v>
      </c>
      <c r="AT589" s="50">
        <f>IF(head!F$82="S235",235,IF(head!F$82="S275",275,IF(head!F$82="S355",355,IF(head!F$82="S420",420,460))))*AS589*J589/1000</f>
        <v>1483.7716269111918</v>
      </c>
      <c r="AU589" s="207" t="s">
        <v>47</v>
      </c>
      <c r="AV589" s="208" t="s">
        <v>47</v>
      </c>
      <c r="AW589" s="208" t="s">
        <v>47</v>
      </c>
      <c r="AX589" s="209" t="s">
        <v>47</v>
      </c>
      <c r="AY589" s="208" t="s">
        <v>47</v>
      </c>
      <c r="AZ589" s="197">
        <v>0</v>
      </c>
      <c r="BA589" s="97" t="str">
        <f t="shared" si="94"/>
        <v>HF CHS 273 x 14,2</v>
      </c>
    </row>
    <row r="590" spans="1:53">
      <c r="A590" s="82" t="s">
        <v>702</v>
      </c>
      <c r="B590" s="83">
        <f t="shared" si="89"/>
        <v>1657.5018184285707</v>
      </c>
      <c r="C590" s="84">
        <v>273</v>
      </c>
      <c r="D590" s="84"/>
      <c r="E590" s="125" t="s">
        <v>830</v>
      </c>
      <c r="F590" s="84"/>
      <c r="G590" s="84"/>
      <c r="H590" s="85">
        <v>90.63003460515533</v>
      </c>
      <c r="I590" s="86">
        <v>92.361818705890784</v>
      </c>
      <c r="J590" s="86">
        <v>11545.227338236349</v>
      </c>
      <c r="K590" s="86">
        <v>0.85765479443001358</v>
      </c>
      <c r="L590" s="87">
        <v>96949718.871695817</v>
      </c>
      <c r="M590" s="88">
        <v>710254.35070839431</v>
      </c>
      <c r="N590" s="88">
        <v>952034.07733333355</v>
      </c>
      <c r="O590" s="89">
        <v>91.63724679408476</v>
      </c>
      <c r="P590" s="88">
        <v>96949718.871695817</v>
      </c>
      <c r="Q590" s="88">
        <v>710254.35070839431</v>
      </c>
      <c r="R590" s="88">
        <v>952034.07733333355</v>
      </c>
      <c r="S590" s="86">
        <v>91.63724679408476</v>
      </c>
      <c r="T590" s="87">
        <v>193899437.74339163</v>
      </c>
      <c r="U590" s="119"/>
      <c r="V590" s="90">
        <v>1</v>
      </c>
      <c r="W590" s="91">
        <v>1</v>
      </c>
      <c r="X590" s="91">
        <v>1</v>
      </c>
      <c r="Y590" s="91">
        <v>1</v>
      </c>
      <c r="Z590" s="91">
        <v>1</v>
      </c>
      <c r="AA590" s="92">
        <v>1</v>
      </c>
      <c r="AB590" s="91">
        <v>1</v>
      </c>
      <c r="AC590" s="91">
        <v>1</v>
      </c>
      <c r="AD590" s="91">
        <v>1</v>
      </c>
      <c r="AE590" s="91">
        <v>2</v>
      </c>
      <c r="AF590" s="90">
        <v>1</v>
      </c>
      <c r="AG590" s="91">
        <v>1</v>
      </c>
      <c r="AH590" s="91">
        <v>1</v>
      </c>
      <c r="AI590" s="91">
        <v>1</v>
      </c>
      <c r="AJ590" s="91">
        <v>2</v>
      </c>
      <c r="AK590" s="210">
        <f t="shared" si="90"/>
        <v>74.286522846507168</v>
      </c>
      <c r="AL590" s="146"/>
      <c r="AM590" s="94"/>
      <c r="AN590" s="95"/>
      <c r="AO590" s="91" t="str">
        <f>IF(head!$F$82="S460","a0","a")</f>
        <v>a</v>
      </c>
      <c r="AP590" s="91">
        <f t="shared" si="91"/>
        <v>0.21</v>
      </c>
      <c r="AQ590" s="96">
        <f>IF(head!F$82="S235",235,IF(head!F$82="S275",275,IF(head!F$82="S355",355,IF(head!F$82="S420",420,460))))^0.5*head!$G$70*1000/(S590*3.1416*210000^0.5)</f>
        <v>1.4281755980249544</v>
      </c>
      <c r="AR590" s="96">
        <f t="shared" si="92"/>
        <v>1.6488012071895883</v>
      </c>
      <c r="AS590" s="96">
        <f t="shared" si="93"/>
        <v>0.40441119694350552</v>
      </c>
      <c r="AT590" s="50">
        <f>IF(head!F$82="S235",235,IF(head!F$82="S275",275,IF(head!F$82="S355",355,IF(head!F$82="S420",420,460))))*AS590*J590/1000</f>
        <v>1657.5018184285707</v>
      </c>
      <c r="AU590" s="207" t="s">
        <v>47</v>
      </c>
      <c r="AV590" s="208" t="s">
        <v>47</v>
      </c>
      <c r="AW590" s="208" t="s">
        <v>47</v>
      </c>
      <c r="AX590" s="209" t="s">
        <v>47</v>
      </c>
      <c r="AY590" s="208" t="s">
        <v>47</v>
      </c>
      <c r="AZ590" s="197">
        <v>0</v>
      </c>
      <c r="BA590" s="97" t="str">
        <f t="shared" si="94"/>
        <v>HF CHS 273 x 16</v>
      </c>
    </row>
    <row r="591" spans="1:53">
      <c r="A591" s="82" t="s">
        <v>703</v>
      </c>
      <c r="B591" s="83">
        <f t="shared" si="89"/>
        <v>1834.5729915334305</v>
      </c>
      <c r="C591" s="84">
        <v>273</v>
      </c>
      <c r="D591" s="84"/>
      <c r="E591" s="125" t="s">
        <v>831</v>
      </c>
      <c r="F591" s="84"/>
      <c r="G591" s="84"/>
      <c r="H591" s="85">
        <v>101.40809758375563</v>
      </c>
      <c r="I591" s="86">
        <v>103.34583193248982</v>
      </c>
      <c r="J591" s="86">
        <v>12918.228991561229</v>
      </c>
      <c r="K591" s="86">
        <v>0.85765479443001358</v>
      </c>
      <c r="L591" s="87">
        <v>107067896.66068339</v>
      </c>
      <c r="M591" s="88">
        <v>784380.19531636185</v>
      </c>
      <c r="N591" s="88">
        <v>1058149.3333333333</v>
      </c>
      <c r="O591" s="89">
        <v>91.03913993442599</v>
      </c>
      <c r="P591" s="88">
        <v>107067896.66068339</v>
      </c>
      <c r="Q591" s="88">
        <v>784380.19531636185</v>
      </c>
      <c r="R591" s="88">
        <v>1058149.3333333333</v>
      </c>
      <c r="S591" s="86">
        <v>91.03913993442599</v>
      </c>
      <c r="T591" s="87">
        <v>214135793.32136679</v>
      </c>
      <c r="U591" s="119"/>
      <c r="V591" s="90">
        <v>1</v>
      </c>
      <c r="W591" s="91">
        <v>1</v>
      </c>
      <c r="X591" s="91">
        <v>1</v>
      </c>
      <c r="Y591" s="91">
        <v>1</v>
      </c>
      <c r="Z591" s="91">
        <v>1</v>
      </c>
      <c r="AA591" s="92">
        <v>1</v>
      </c>
      <c r="AB591" s="91">
        <v>1</v>
      </c>
      <c r="AC591" s="91">
        <v>1</v>
      </c>
      <c r="AD591" s="91">
        <v>1</v>
      </c>
      <c r="AE591" s="91">
        <v>1</v>
      </c>
      <c r="AF591" s="90">
        <v>1</v>
      </c>
      <c r="AG591" s="91">
        <v>1</v>
      </c>
      <c r="AH591" s="91">
        <v>1</v>
      </c>
      <c r="AI591" s="91">
        <v>1</v>
      </c>
      <c r="AJ591" s="91">
        <v>1</v>
      </c>
      <c r="AK591" s="210">
        <f t="shared" si="90"/>
        <v>66.391050583657588</v>
      </c>
      <c r="AL591" s="146"/>
      <c r="AM591" s="94"/>
      <c r="AN591" s="95"/>
      <c r="AO591" s="91" t="str">
        <f>IF(head!$F$82="S460","a0","a")</f>
        <v>a</v>
      </c>
      <c r="AP591" s="91">
        <f t="shared" si="91"/>
        <v>0.21</v>
      </c>
      <c r="AQ591" s="96">
        <f>IF(head!F$82="S235",235,IF(head!F$82="S275",275,IF(head!F$82="S355",355,IF(head!F$82="S420",420,460))))^0.5*head!$G$70*1000/(S591*3.1416*210000^0.5)</f>
        <v>1.4375583934093492</v>
      </c>
      <c r="AR591" s="96">
        <f t="shared" si="92"/>
        <v>1.6632306985388161</v>
      </c>
      <c r="AS591" s="96">
        <f t="shared" si="93"/>
        <v>0.40004022588018756</v>
      </c>
      <c r="AT591" s="50">
        <f>IF(head!F$82="S235",235,IF(head!F$82="S275",275,IF(head!F$82="S355",355,IF(head!F$82="S420",420,460))))*AS591*J591/1000</f>
        <v>1834.5729915334305</v>
      </c>
      <c r="AU591" s="207" t="s">
        <v>47</v>
      </c>
      <c r="AV591" s="208" t="s">
        <v>47</v>
      </c>
      <c r="AW591" s="208" t="s">
        <v>47</v>
      </c>
      <c r="AX591" s="209" t="s">
        <v>47</v>
      </c>
      <c r="AY591" s="208" t="s">
        <v>47</v>
      </c>
      <c r="AZ591" s="197">
        <v>0</v>
      </c>
      <c r="BA591" s="97" t="str">
        <f t="shared" si="94"/>
        <v>HF CHS 273 x 20</v>
      </c>
    </row>
    <row r="592" spans="1:53">
      <c r="A592" s="82" t="s">
        <v>704</v>
      </c>
      <c r="B592" s="83">
        <f t="shared" si="89"/>
        <v>2203.515894452798</v>
      </c>
      <c r="C592" s="84">
        <v>273</v>
      </c>
      <c r="D592" s="84"/>
      <c r="E592" s="125" t="s">
        <v>833</v>
      </c>
      <c r="F592" s="84"/>
      <c r="G592" s="84"/>
      <c r="H592" s="85">
        <v>124.78720179324017</v>
      </c>
      <c r="I592" s="86">
        <v>127.17167061731483</v>
      </c>
      <c r="J592" s="86">
        <v>15896.458827164353</v>
      </c>
      <c r="K592" s="86">
        <v>0.85765479443001358</v>
      </c>
      <c r="L592" s="87">
        <v>127984377.0748536</v>
      </c>
      <c r="M592" s="88">
        <v>937614.48406486143</v>
      </c>
      <c r="N592" s="88">
        <v>1282846.6666666665</v>
      </c>
      <c r="O592" s="89">
        <v>89.728061385499686</v>
      </c>
      <c r="P592" s="88">
        <v>127984377.0748536</v>
      </c>
      <c r="Q592" s="88">
        <v>937614.48406486143</v>
      </c>
      <c r="R592" s="88">
        <v>1282846.6666666665</v>
      </c>
      <c r="S592" s="86">
        <v>89.728061385499686</v>
      </c>
      <c r="T592" s="87">
        <v>255968754.1497072</v>
      </c>
      <c r="U592" s="119"/>
      <c r="V592" s="90">
        <v>1</v>
      </c>
      <c r="W592" s="91">
        <v>1</v>
      </c>
      <c r="X592" s="91">
        <v>1</v>
      </c>
      <c r="Y592" s="91">
        <v>1</v>
      </c>
      <c r="Z592" s="91">
        <v>1</v>
      </c>
      <c r="AA592" s="92">
        <v>1</v>
      </c>
      <c r="AB592" s="91">
        <v>1</v>
      </c>
      <c r="AC592" s="91">
        <v>1</v>
      </c>
      <c r="AD592" s="91">
        <v>1</v>
      </c>
      <c r="AE592" s="91">
        <v>1</v>
      </c>
      <c r="AF592" s="90">
        <v>1</v>
      </c>
      <c r="AG592" s="91">
        <v>1</v>
      </c>
      <c r="AH592" s="91">
        <v>1</v>
      </c>
      <c r="AI592" s="91">
        <v>1</v>
      </c>
      <c r="AJ592" s="91">
        <v>1</v>
      </c>
      <c r="AK592" s="210">
        <f t="shared" si="90"/>
        <v>53.952569169960476</v>
      </c>
      <c r="AL592" s="146"/>
      <c r="AM592" s="94"/>
      <c r="AN592" s="95"/>
      <c r="AO592" s="91" t="str">
        <f>IF(head!$F$82="S460","a0","a")</f>
        <v>a</v>
      </c>
      <c r="AP592" s="91">
        <f t="shared" si="91"/>
        <v>0.21</v>
      </c>
      <c r="AQ592" s="96">
        <f>IF(head!F$82="S235",235,IF(head!F$82="S275",275,IF(head!F$82="S355",355,IF(head!F$82="S420",420,460))))^0.5*head!$G$70*1000/(S592*3.1416*210000^0.5)</f>
        <v>1.4585635499158571</v>
      </c>
      <c r="AR592" s="96">
        <f t="shared" si="92"/>
        <v>1.6958529873127386</v>
      </c>
      <c r="AS592" s="96">
        <f t="shared" si="93"/>
        <v>0.390469795450339</v>
      </c>
      <c r="AT592" s="50">
        <f>IF(head!F$82="S235",235,IF(head!F$82="S275",275,IF(head!F$82="S355",355,IF(head!F$82="S420",420,460))))*AS592*J592/1000</f>
        <v>2203.515894452798</v>
      </c>
      <c r="AU592" s="207" t="s">
        <v>47</v>
      </c>
      <c r="AV592" s="208" t="s">
        <v>47</v>
      </c>
      <c r="AW592" s="208" t="s">
        <v>47</v>
      </c>
      <c r="AX592" s="209" t="s">
        <v>47</v>
      </c>
      <c r="AY592" s="208" t="s">
        <v>47</v>
      </c>
      <c r="AZ592" s="197">
        <v>0</v>
      </c>
      <c r="BA592" s="97" t="str">
        <f t="shared" si="94"/>
        <v>HF CHS 323,9 x 5</v>
      </c>
    </row>
    <row r="593" spans="1:53">
      <c r="A593" s="82" t="s">
        <v>705</v>
      </c>
      <c r="B593" s="83">
        <f t="shared" si="89"/>
        <v>987.5483516217937</v>
      </c>
      <c r="C593" s="84">
        <v>323.89999999999998</v>
      </c>
      <c r="D593" s="84"/>
      <c r="E593" s="125" t="s">
        <v>822</v>
      </c>
      <c r="F593" s="84"/>
      <c r="G593" s="84"/>
      <c r="H593" s="85">
        <v>39.322765466269061</v>
      </c>
      <c r="I593" s="86">
        <v>40.074155889191402</v>
      </c>
      <c r="J593" s="86">
        <v>5009.2694861489254</v>
      </c>
      <c r="K593" s="86">
        <v>1.0175618604977339</v>
      </c>
      <c r="L593" s="87">
        <v>63694245.32707914</v>
      </c>
      <c r="M593" s="88">
        <v>393295.74144537904</v>
      </c>
      <c r="N593" s="88">
        <v>508527.71666666615</v>
      </c>
      <c r="O593" s="89">
        <v>112.76203372589553</v>
      </c>
      <c r="P593" s="88">
        <v>63694245.32707914</v>
      </c>
      <c r="Q593" s="88">
        <v>393295.74144537904</v>
      </c>
      <c r="R593" s="88">
        <v>508527.71666666615</v>
      </c>
      <c r="S593" s="86">
        <v>112.76203372589553</v>
      </c>
      <c r="T593" s="87">
        <v>127388490.65415828</v>
      </c>
      <c r="U593" s="119"/>
      <c r="V593" s="90">
        <v>2</v>
      </c>
      <c r="W593" s="91">
        <v>3</v>
      </c>
      <c r="X593" s="91">
        <v>4</v>
      </c>
      <c r="Y593" s="91">
        <v>4</v>
      </c>
      <c r="Z593" s="91">
        <v>4</v>
      </c>
      <c r="AA593" s="92">
        <v>3</v>
      </c>
      <c r="AB593" s="91">
        <v>4</v>
      </c>
      <c r="AC593" s="91">
        <v>4</v>
      </c>
      <c r="AD593" s="91">
        <v>4</v>
      </c>
      <c r="AE593" s="91">
        <v>4</v>
      </c>
      <c r="AF593" s="90">
        <v>3</v>
      </c>
      <c r="AG593" s="91">
        <v>4</v>
      </c>
      <c r="AH593" s="91">
        <v>4</v>
      </c>
      <c r="AI593" s="91">
        <v>4</v>
      </c>
      <c r="AJ593" s="91">
        <v>4</v>
      </c>
      <c r="AK593" s="210">
        <f t="shared" si="90"/>
        <v>203.13577924114139</v>
      </c>
      <c r="AL593" s="146"/>
      <c r="AM593" s="94"/>
      <c r="AN593" s="95"/>
      <c r="AO593" s="91" t="str">
        <f>IF(head!$F$82="S460","a0","a")</f>
        <v>a</v>
      </c>
      <c r="AP593" s="91">
        <f t="shared" si="91"/>
        <v>0.21</v>
      </c>
      <c r="AQ593" s="96">
        <f>IF(head!F$82="S235",235,IF(head!F$82="S275",275,IF(head!F$82="S355",355,IF(head!F$82="S420",420,460))))^0.5*head!$G$70*1000/(S593*3.1416*210000^0.5)</f>
        <v>1.160621845998574</v>
      </c>
      <c r="AR593" s="96">
        <f t="shared" si="92"/>
        <v>1.2743868285344191</v>
      </c>
      <c r="AS593" s="96">
        <f t="shared" si="93"/>
        <v>0.55533573314204765</v>
      </c>
      <c r="AT593" s="50">
        <f>IF(head!F$82="S235",235,IF(head!F$82="S275",275,IF(head!F$82="S355",355,IF(head!F$82="S420",420,460))))*AS593*J593/1000</f>
        <v>987.5483516217937</v>
      </c>
      <c r="AU593" s="207" t="s">
        <v>47</v>
      </c>
      <c r="AV593" s="208" t="s">
        <v>47</v>
      </c>
      <c r="AW593" s="208" t="s">
        <v>47</v>
      </c>
      <c r="AX593" s="209" t="s">
        <v>47</v>
      </c>
      <c r="AY593" s="208" t="s">
        <v>47</v>
      </c>
      <c r="AZ593" s="197">
        <v>0</v>
      </c>
      <c r="BA593" s="97" t="str">
        <f t="shared" si="94"/>
        <v>HF CHS 323,9 x 5,6</v>
      </c>
    </row>
    <row r="594" spans="1:53">
      <c r="A594" s="82" t="s">
        <v>706</v>
      </c>
      <c r="B594" s="83">
        <f t="shared" si="89"/>
        <v>1101.1739086592611</v>
      </c>
      <c r="C594" s="84">
        <v>323.89999999999998</v>
      </c>
      <c r="D594" s="84"/>
      <c r="E594" s="125">
        <v>5.6</v>
      </c>
      <c r="F594" s="84"/>
      <c r="G594" s="84"/>
      <c r="H594" s="85">
        <v>43.958634674390254</v>
      </c>
      <c r="I594" s="86">
        <v>44.798608585365862</v>
      </c>
      <c r="J594" s="86">
        <v>5599.8260731707333</v>
      </c>
      <c r="K594" s="86">
        <v>1.0175618604977339</v>
      </c>
      <c r="L594" s="87">
        <v>70940171.646009967</v>
      </c>
      <c r="M594" s="88">
        <v>438037.49086761329</v>
      </c>
      <c r="N594" s="88">
        <v>567421.92266666575</v>
      </c>
      <c r="O594" s="89">
        <v>112.55345952035418</v>
      </c>
      <c r="P594" s="88">
        <v>70940171.646009967</v>
      </c>
      <c r="Q594" s="88">
        <v>438037.49086761329</v>
      </c>
      <c r="R594" s="88">
        <v>567421.92266666575</v>
      </c>
      <c r="S594" s="86">
        <v>112.55345952035418</v>
      </c>
      <c r="T594" s="87">
        <v>141880343.29201993</v>
      </c>
      <c r="U594" s="119"/>
      <c r="V594" s="90">
        <v>2</v>
      </c>
      <c r="W594" s="91">
        <v>2</v>
      </c>
      <c r="X594" s="91">
        <v>3</v>
      </c>
      <c r="Y594" s="91">
        <v>4</v>
      </c>
      <c r="Z594" s="91">
        <v>4</v>
      </c>
      <c r="AA594" s="92">
        <v>3</v>
      </c>
      <c r="AB594" s="91">
        <v>4</v>
      </c>
      <c r="AC594" s="91">
        <v>4</v>
      </c>
      <c r="AD594" s="91">
        <v>4</v>
      </c>
      <c r="AE594" s="91">
        <v>4</v>
      </c>
      <c r="AF594" s="90">
        <v>3</v>
      </c>
      <c r="AG594" s="91">
        <v>4</v>
      </c>
      <c r="AH594" s="91">
        <v>4</v>
      </c>
      <c r="AI594" s="91">
        <v>4</v>
      </c>
      <c r="AJ594" s="91">
        <v>4</v>
      </c>
      <c r="AK594" s="210">
        <f t="shared" si="90"/>
        <v>181.71311880077198</v>
      </c>
      <c r="AL594" s="146"/>
      <c r="AM594" s="94"/>
      <c r="AN594" s="95"/>
      <c r="AO594" s="91" t="str">
        <f>IF(head!$F$82="S460","a0","a")</f>
        <v>a</v>
      </c>
      <c r="AP594" s="91">
        <f t="shared" si="91"/>
        <v>0.21</v>
      </c>
      <c r="AQ594" s="96">
        <f>IF(head!F$82="S235",235,IF(head!F$82="S275",275,IF(head!F$82="S355",355,IF(head!F$82="S420",420,460))))^0.5*head!$G$70*1000/(S594*3.1416*210000^0.5)</f>
        <v>1.1627726086716603</v>
      </c>
      <c r="AR594" s="96">
        <f t="shared" si="92"/>
        <v>1.2771111936490733</v>
      </c>
      <c r="AS594" s="96">
        <f t="shared" si="93"/>
        <v>0.55392762091539094</v>
      </c>
      <c r="AT594" s="50">
        <f>IF(head!F$82="S235",235,IF(head!F$82="S275",275,IF(head!F$82="S355",355,IF(head!F$82="S420",420,460))))*AS594*J594/1000</f>
        <v>1101.1739086592611</v>
      </c>
      <c r="AU594" s="207" t="s">
        <v>47</v>
      </c>
      <c r="AV594" s="208" t="s">
        <v>47</v>
      </c>
      <c r="AW594" s="208" t="s">
        <v>47</v>
      </c>
      <c r="AX594" s="209" t="s">
        <v>47</v>
      </c>
      <c r="AY594" s="208" t="s">
        <v>47</v>
      </c>
      <c r="AZ594" s="197">
        <v>0</v>
      </c>
      <c r="BA594" s="97" t="str">
        <f t="shared" si="94"/>
        <v>HF CHS 323,9 x 6,3</v>
      </c>
    </row>
    <row r="595" spans="1:53">
      <c r="A595" s="82" t="s">
        <v>707</v>
      </c>
      <c r="B595" s="83">
        <f t="shared" si="89"/>
        <v>1232.431062026752</v>
      </c>
      <c r="C595" s="84">
        <v>323.89999999999998</v>
      </c>
      <c r="D595" s="84"/>
      <c r="E595" s="125" t="s">
        <v>824</v>
      </c>
      <c r="F595" s="84"/>
      <c r="G595" s="84"/>
      <c r="H595" s="85">
        <v>49.344706783410857</v>
      </c>
      <c r="I595" s="86">
        <v>50.287599269718072</v>
      </c>
      <c r="J595" s="86">
        <v>6285.9499087147597</v>
      </c>
      <c r="K595" s="86">
        <v>1.0175618604977339</v>
      </c>
      <c r="L595" s="87">
        <v>79288968.50199458</v>
      </c>
      <c r="M595" s="88">
        <v>489589.18494593754</v>
      </c>
      <c r="N595" s="88">
        <v>635562.83700000064</v>
      </c>
      <c r="O595" s="89">
        <v>112.31064620061626</v>
      </c>
      <c r="P595" s="88">
        <v>79288968.50199458</v>
      </c>
      <c r="Q595" s="88">
        <v>489589.18494593754</v>
      </c>
      <c r="R595" s="88">
        <v>635562.83700000064</v>
      </c>
      <c r="S595" s="86">
        <v>112.31064620061626</v>
      </c>
      <c r="T595" s="87">
        <v>158577937.00398916</v>
      </c>
      <c r="U595" s="119"/>
      <c r="V595" s="90">
        <v>2</v>
      </c>
      <c r="W595" s="91">
        <v>2</v>
      </c>
      <c r="X595" s="91">
        <v>3</v>
      </c>
      <c r="Y595" s="91">
        <v>4</v>
      </c>
      <c r="Z595" s="91">
        <v>4</v>
      </c>
      <c r="AA595" s="92">
        <v>3</v>
      </c>
      <c r="AB595" s="91">
        <v>3</v>
      </c>
      <c r="AC595" s="91">
        <v>4</v>
      </c>
      <c r="AD595" s="91">
        <v>4</v>
      </c>
      <c r="AE595" s="91">
        <v>4</v>
      </c>
      <c r="AF595" s="90">
        <v>3</v>
      </c>
      <c r="AG595" s="91">
        <v>3</v>
      </c>
      <c r="AH595" s="91">
        <v>4</v>
      </c>
      <c r="AI595" s="91">
        <v>4</v>
      </c>
      <c r="AJ595" s="91">
        <v>4</v>
      </c>
      <c r="AK595" s="210">
        <f t="shared" si="90"/>
        <v>161.87877333973012</v>
      </c>
      <c r="AL595" s="146"/>
      <c r="AM595" s="94"/>
      <c r="AN595" s="95"/>
      <c r="AO595" s="91" t="str">
        <f>IF(head!$F$82="S460","a0","a")</f>
        <v>a</v>
      </c>
      <c r="AP595" s="91">
        <f t="shared" si="91"/>
        <v>0.21</v>
      </c>
      <c r="AQ595" s="96">
        <f>IF(head!F$82="S235",235,IF(head!F$82="S275",275,IF(head!F$82="S355",355,IF(head!F$82="S420",420,460))))^0.5*head!$G$70*1000/(S595*3.1416*210000^0.5)</f>
        <v>1.1652864992667475</v>
      </c>
      <c r="AR595" s="96">
        <f t="shared" si="92"/>
        <v>1.2803013951096842</v>
      </c>
      <c r="AS595" s="96">
        <f t="shared" si="93"/>
        <v>0.55228515098863928</v>
      </c>
      <c r="AT595" s="50">
        <f>IF(head!F$82="S235",235,IF(head!F$82="S275",275,IF(head!F$82="S355",355,IF(head!F$82="S420",420,460))))*AS595*J595/1000</f>
        <v>1232.431062026752</v>
      </c>
      <c r="AU595" s="207" t="s">
        <v>47</v>
      </c>
      <c r="AV595" s="208" t="s">
        <v>47</v>
      </c>
      <c r="AW595" s="208" t="s">
        <v>47</v>
      </c>
      <c r="AX595" s="209" t="s">
        <v>47</v>
      </c>
      <c r="AY595" s="208" t="s">
        <v>47</v>
      </c>
      <c r="AZ595" s="197">
        <v>0</v>
      </c>
      <c r="BA595" s="97" t="str">
        <f t="shared" si="94"/>
        <v>HF CHS 323,9 x 7,1</v>
      </c>
    </row>
    <row r="596" spans="1:53">
      <c r="A596" s="82" t="s">
        <v>708</v>
      </c>
      <c r="B596" s="83">
        <f t="shared" si="89"/>
        <v>1380.7242251053106</v>
      </c>
      <c r="C596" s="84">
        <v>323.89999999999998</v>
      </c>
      <c r="D596" s="84"/>
      <c r="E596" s="125" t="s">
        <v>825</v>
      </c>
      <c r="F596" s="84"/>
      <c r="G596" s="84"/>
      <c r="H596" s="85">
        <v>55.470623962351603</v>
      </c>
      <c r="I596" s="86">
        <v>56.530572190931572</v>
      </c>
      <c r="J596" s="86">
        <v>7066.3215238664461</v>
      </c>
      <c r="K596" s="86">
        <v>1.0175618604977339</v>
      </c>
      <c r="L596" s="87">
        <v>88693508.745433539</v>
      </c>
      <c r="M596" s="88">
        <v>547659.82553524873</v>
      </c>
      <c r="N596" s="88">
        <v>712691.2076666659</v>
      </c>
      <c r="O596" s="89">
        <v>112.03383975388866</v>
      </c>
      <c r="P596" s="88">
        <v>88693508.745433539</v>
      </c>
      <c r="Q596" s="88">
        <v>547659.82553524873</v>
      </c>
      <c r="R596" s="88">
        <v>712691.2076666659</v>
      </c>
      <c r="S596" s="86">
        <v>112.03383975388866</v>
      </c>
      <c r="T596" s="87">
        <v>177387017.49086708</v>
      </c>
      <c r="U596" s="119"/>
      <c r="V596" s="90">
        <v>1</v>
      </c>
      <c r="W596" s="91">
        <v>2</v>
      </c>
      <c r="X596" s="91">
        <v>2</v>
      </c>
      <c r="Y596" s="91">
        <v>3</v>
      </c>
      <c r="Z596" s="91">
        <v>3</v>
      </c>
      <c r="AA596" s="92">
        <v>2</v>
      </c>
      <c r="AB596" s="91">
        <v>3</v>
      </c>
      <c r="AC596" s="91">
        <v>4</v>
      </c>
      <c r="AD596" s="91">
        <v>4</v>
      </c>
      <c r="AE596" s="91">
        <v>4</v>
      </c>
      <c r="AF596" s="90">
        <v>2</v>
      </c>
      <c r="AG596" s="91">
        <v>3</v>
      </c>
      <c r="AH596" s="91">
        <v>4</v>
      </c>
      <c r="AI596" s="91">
        <v>4</v>
      </c>
      <c r="AJ596" s="91">
        <v>4</v>
      </c>
      <c r="AK596" s="210">
        <f t="shared" si="90"/>
        <v>144.00163607910093</v>
      </c>
      <c r="AL596" s="146"/>
      <c r="AM596" s="94"/>
      <c r="AN596" s="95"/>
      <c r="AO596" s="91" t="str">
        <f>IF(head!$F$82="S460","a0","a")</f>
        <v>a</v>
      </c>
      <c r="AP596" s="91">
        <f t="shared" si="91"/>
        <v>0.21</v>
      </c>
      <c r="AQ596" s="96">
        <f>IF(head!F$82="S235",235,IF(head!F$82="S275",275,IF(head!F$82="S355",355,IF(head!F$82="S420",420,460))))^0.5*head!$G$70*1000/(S596*3.1416*210000^0.5)</f>
        <v>1.1681656187898333</v>
      </c>
      <c r="AR596" s="96">
        <f t="shared" si="92"/>
        <v>1.2839628464342496</v>
      </c>
      <c r="AS596" s="96">
        <f t="shared" si="93"/>
        <v>0.55040858263310832</v>
      </c>
      <c r="AT596" s="50">
        <f>IF(head!F$82="S235",235,IF(head!F$82="S275",275,IF(head!F$82="S355",355,IF(head!F$82="S420",420,460))))*AS596*J596/1000</f>
        <v>1380.7242251053106</v>
      </c>
      <c r="AU596" s="207" t="s">
        <v>47</v>
      </c>
      <c r="AV596" s="208" t="s">
        <v>47</v>
      </c>
      <c r="AW596" s="208" t="s">
        <v>47</v>
      </c>
      <c r="AX596" s="209" t="s">
        <v>47</v>
      </c>
      <c r="AY596" s="208" t="s">
        <v>47</v>
      </c>
      <c r="AZ596" s="197">
        <v>0</v>
      </c>
      <c r="BA596" s="97" t="str">
        <f t="shared" si="94"/>
        <v>HF CHS 323,9 x 8</v>
      </c>
    </row>
    <row r="597" spans="1:53">
      <c r="A597" s="82" t="s">
        <v>709</v>
      </c>
      <c r="B597" s="83">
        <f t="shared" si="89"/>
        <v>1545.3780152141426</v>
      </c>
      <c r="C597" s="84">
        <v>323.89999999999998</v>
      </c>
      <c r="D597" s="84"/>
      <c r="E597" s="125" t="s">
        <v>826</v>
      </c>
      <c r="F597" s="84"/>
      <c r="G597" s="84"/>
      <c r="H597" s="85">
        <v>62.324548690094197</v>
      </c>
      <c r="I597" s="86">
        <v>63.515463633217017</v>
      </c>
      <c r="J597" s="86">
        <v>7939.4329541521274</v>
      </c>
      <c r="K597" s="86">
        <v>1.0175618604977339</v>
      </c>
      <c r="L597" s="87">
        <v>99100806.001313493</v>
      </c>
      <c r="M597" s="88">
        <v>611922.23526590609</v>
      </c>
      <c r="N597" s="88">
        <v>798513.14666666649</v>
      </c>
      <c r="O597" s="89">
        <v>111.72332455669229</v>
      </c>
      <c r="P597" s="88">
        <v>99100806.001313493</v>
      </c>
      <c r="Q597" s="88">
        <v>611922.23526590609</v>
      </c>
      <c r="R597" s="88">
        <v>798513.14666666649</v>
      </c>
      <c r="S597" s="86">
        <v>111.72332455669229</v>
      </c>
      <c r="T597" s="87">
        <v>198201612.00262699</v>
      </c>
      <c r="U597" s="119"/>
      <c r="V597" s="90">
        <v>1</v>
      </c>
      <c r="W597" s="91">
        <v>1</v>
      </c>
      <c r="X597" s="91">
        <v>2</v>
      </c>
      <c r="Y597" s="91">
        <v>3</v>
      </c>
      <c r="Z597" s="91">
        <v>3</v>
      </c>
      <c r="AA597" s="92">
        <v>2</v>
      </c>
      <c r="AB597" s="91">
        <v>2</v>
      </c>
      <c r="AC597" s="91">
        <v>3</v>
      </c>
      <c r="AD597" s="91">
        <v>4</v>
      </c>
      <c r="AE597" s="91">
        <v>4</v>
      </c>
      <c r="AF597" s="90">
        <v>2</v>
      </c>
      <c r="AG597" s="91">
        <v>2</v>
      </c>
      <c r="AH597" s="91">
        <v>3</v>
      </c>
      <c r="AI597" s="91">
        <v>4</v>
      </c>
      <c r="AJ597" s="91">
        <v>4</v>
      </c>
      <c r="AK597" s="210">
        <f t="shared" si="90"/>
        <v>128.16555872111422</v>
      </c>
      <c r="AL597" s="146"/>
      <c r="AM597" s="94"/>
      <c r="AN597" s="95"/>
      <c r="AO597" s="91" t="str">
        <f>IF(head!$F$82="S460","a0","a")</f>
        <v>a</v>
      </c>
      <c r="AP597" s="91">
        <f t="shared" si="91"/>
        <v>0.21</v>
      </c>
      <c r="AQ597" s="96">
        <f>IF(head!F$82="S235",235,IF(head!F$82="S275",275,IF(head!F$82="S355",355,IF(head!F$82="S420",420,460))))^0.5*head!$G$70*1000/(S597*3.1416*210000^0.5)</f>
        <v>1.1714123282743194</v>
      </c>
      <c r="AR597" s="96">
        <f t="shared" si="92"/>
        <v>1.2881017158853345</v>
      </c>
      <c r="AS597" s="96">
        <f t="shared" si="93"/>
        <v>0.54829828940980829</v>
      </c>
      <c r="AT597" s="50">
        <f>IF(head!F$82="S235",235,IF(head!F$82="S275",275,IF(head!F$82="S355",355,IF(head!F$82="S420",420,460))))*AS597*J597/1000</f>
        <v>1545.3780152141426</v>
      </c>
      <c r="AU597" s="207" t="s">
        <v>47</v>
      </c>
      <c r="AV597" s="208" t="s">
        <v>47</v>
      </c>
      <c r="AW597" s="208" t="s">
        <v>47</v>
      </c>
      <c r="AX597" s="209" t="s">
        <v>47</v>
      </c>
      <c r="AY597" s="208" t="s">
        <v>47</v>
      </c>
      <c r="AZ597" s="197">
        <v>0</v>
      </c>
      <c r="BA597" s="97" t="str">
        <f t="shared" si="94"/>
        <v>HF CHS 323,9 x 10</v>
      </c>
    </row>
    <row r="598" spans="1:53">
      <c r="A598" s="82" t="s">
        <v>710</v>
      </c>
      <c r="B598" s="83">
        <f t="shared" si="89"/>
        <v>1903.0897822044485</v>
      </c>
      <c r="C598" s="84">
        <v>323.89999999999998</v>
      </c>
      <c r="D598" s="84"/>
      <c r="E598" s="125">
        <v>10</v>
      </c>
      <c r="F598" s="84"/>
      <c r="G598" s="84"/>
      <c r="H598" s="85">
        <v>77.412455816004126</v>
      </c>
      <c r="I598" s="86">
        <v>78.891674716946881</v>
      </c>
      <c r="J598" s="86">
        <v>9861.4593396183609</v>
      </c>
      <c r="K598" s="86">
        <v>1.0175618604977339</v>
      </c>
      <c r="L598" s="87">
        <v>121583423.74387991</v>
      </c>
      <c r="M598" s="88">
        <v>750746.67331818421</v>
      </c>
      <c r="N598" s="88">
        <v>985665.433333333</v>
      </c>
      <c r="O598" s="89">
        <v>111.036711271543</v>
      </c>
      <c r="P598" s="88">
        <v>121583423.74387991</v>
      </c>
      <c r="Q598" s="88">
        <v>750746.67331818421</v>
      </c>
      <c r="R598" s="88">
        <v>985665.433333333</v>
      </c>
      <c r="S598" s="86">
        <v>111.036711271543</v>
      </c>
      <c r="T598" s="87">
        <v>243166847.48775983</v>
      </c>
      <c r="U598" s="119"/>
      <c r="V598" s="90">
        <v>1</v>
      </c>
      <c r="W598" s="91">
        <v>1</v>
      </c>
      <c r="X598" s="91">
        <v>1</v>
      </c>
      <c r="Y598" s="91">
        <v>2</v>
      </c>
      <c r="Z598" s="91">
        <v>2</v>
      </c>
      <c r="AA598" s="92">
        <v>1</v>
      </c>
      <c r="AB598" s="91">
        <v>2</v>
      </c>
      <c r="AC598" s="91">
        <v>2</v>
      </c>
      <c r="AD598" s="91">
        <v>3</v>
      </c>
      <c r="AE598" s="91">
        <v>3</v>
      </c>
      <c r="AF598" s="90">
        <v>1</v>
      </c>
      <c r="AG598" s="91">
        <v>2</v>
      </c>
      <c r="AH598" s="91">
        <v>2</v>
      </c>
      <c r="AI598" s="91">
        <v>3</v>
      </c>
      <c r="AJ598" s="91">
        <v>3</v>
      </c>
      <c r="AK598" s="210">
        <f t="shared" si="90"/>
        <v>103.18572793883402</v>
      </c>
      <c r="AL598" s="146"/>
      <c r="AM598" s="94"/>
      <c r="AN598" s="95"/>
      <c r="AO598" s="91" t="str">
        <f>IF(head!$F$82="S460","a0","a")</f>
        <v>a</v>
      </c>
      <c r="AP598" s="91">
        <f t="shared" si="91"/>
        <v>0.21</v>
      </c>
      <c r="AQ598" s="96">
        <f>IF(head!F$82="S235",235,IF(head!F$82="S275",275,IF(head!F$82="S355",355,IF(head!F$82="S420",420,460))))^0.5*head!$G$70*1000/(S598*3.1416*210000^0.5)</f>
        <v>1.1786559439917721</v>
      </c>
      <c r="AR598" s="96">
        <f t="shared" si="92"/>
        <v>1.2973737912727037</v>
      </c>
      <c r="AS598" s="96">
        <f t="shared" si="93"/>
        <v>0.54361287749398346</v>
      </c>
      <c r="AT598" s="50">
        <f>IF(head!F$82="S235",235,IF(head!F$82="S275",275,IF(head!F$82="S355",355,IF(head!F$82="S420",420,460))))*AS598*J598/1000</f>
        <v>1903.0897822044485</v>
      </c>
      <c r="AU598" s="207" t="s">
        <v>47</v>
      </c>
      <c r="AV598" s="208" t="s">
        <v>47</v>
      </c>
      <c r="AW598" s="208" t="s">
        <v>47</v>
      </c>
      <c r="AX598" s="209" t="s">
        <v>47</v>
      </c>
      <c r="AY598" s="208" t="s">
        <v>47</v>
      </c>
      <c r="AZ598" s="197">
        <v>0</v>
      </c>
      <c r="BA598" s="97" t="str">
        <f t="shared" si="94"/>
        <v>HF CHS 323,9 x 12,5</v>
      </c>
    </row>
    <row r="599" spans="1:53">
      <c r="A599" s="82" t="s">
        <v>711</v>
      </c>
      <c r="B599" s="83">
        <f t="shared" si="89"/>
        <v>2334.5370712351896</v>
      </c>
      <c r="C599" s="84">
        <v>323.89999999999998</v>
      </c>
      <c r="D599" s="84"/>
      <c r="E599" s="125" t="s">
        <v>829</v>
      </c>
      <c r="F599" s="84"/>
      <c r="G599" s="84"/>
      <c r="H599" s="85">
        <v>95.994897822171396</v>
      </c>
      <c r="I599" s="86">
        <v>97.829195232786134</v>
      </c>
      <c r="J599" s="86">
        <v>12228.649404098269</v>
      </c>
      <c r="K599" s="86">
        <v>1.0175618604977339</v>
      </c>
      <c r="L599" s="87">
        <v>148465296.25485295</v>
      </c>
      <c r="M599" s="88">
        <v>916735.38903891901</v>
      </c>
      <c r="N599" s="88">
        <v>1212775.541666666</v>
      </c>
      <c r="O599" s="89">
        <v>110.18519070183616</v>
      </c>
      <c r="P599" s="88">
        <v>148465296.25485295</v>
      </c>
      <c r="Q599" s="88">
        <v>916735.38903891901</v>
      </c>
      <c r="R599" s="88">
        <v>1212775.541666666</v>
      </c>
      <c r="S599" s="86">
        <v>110.18519070183616</v>
      </c>
      <c r="T599" s="87">
        <v>296930592.5097059</v>
      </c>
      <c r="U599" s="119"/>
      <c r="V599" s="90">
        <v>1</v>
      </c>
      <c r="W599" s="91">
        <v>1</v>
      </c>
      <c r="X599" s="91">
        <v>1</v>
      </c>
      <c r="Y599" s="91">
        <v>1</v>
      </c>
      <c r="Z599" s="91">
        <v>2</v>
      </c>
      <c r="AA599" s="92">
        <v>1</v>
      </c>
      <c r="AB599" s="91">
        <v>1</v>
      </c>
      <c r="AC599" s="91">
        <v>2</v>
      </c>
      <c r="AD599" s="91">
        <v>2</v>
      </c>
      <c r="AE599" s="91">
        <v>3</v>
      </c>
      <c r="AF599" s="90">
        <v>1</v>
      </c>
      <c r="AG599" s="91">
        <v>1</v>
      </c>
      <c r="AH599" s="91">
        <v>2</v>
      </c>
      <c r="AI599" s="91">
        <v>2</v>
      </c>
      <c r="AJ599" s="91">
        <v>3</v>
      </c>
      <c r="AK599" s="210">
        <f t="shared" si="90"/>
        <v>83.211303789338473</v>
      </c>
      <c r="AL599" s="146"/>
      <c r="AM599" s="94"/>
      <c r="AN599" s="95"/>
      <c r="AO599" s="91" t="str">
        <f>IF(head!$F$82="S460","a0","a")</f>
        <v>a</v>
      </c>
      <c r="AP599" s="91">
        <f t="shared" si="91"/>
        <v>0.21</v>
      </c>
      <c r="AQ599" s="96">
        <f>IF(head!F$82="S235",235,IF(head!F$82="S275",275,IF(head!F$82="S355",355,IF(head!F$82="S420",420,460))))^0.5*head!$G$70*1000/(S599*3.1416*210000^0.5)</f>
        <v>1.187764697849921</v>
      </c>
      <c r="AR599" s="96">
        <f t="shared" si="92"/>
        <v>1.3091077820034989</v>
      </c>
      <c r="AS599" s="96">
        <f t="shared" si="93"/>
        <v>0.53776672686673599</v>
      </c>
      <c r="AT599" s="50">
        <f>IF(head!F$82="S235",235,IF(head!F$82="S275",275,IF(head!F$82="S355",355,IF(head!F$82="S420",420,460))))*AS599*J599/1000</f>
        <v>2334.5370712351896</v>
      </c>
      <c r="AU599" s="207" t="s">
        <v>47</v>
      </c>
      <c r="AV599" s="208" t="s">
        <v>47</v>
      </c>
      <c r="AW599" s="208" t="s">
        <v>47</v>
      </c>
      <c r="AX599" s="209" t="s">
        <v>47</v>
      </c>
      <c r="AY599" s="208" t="s">
        <v>47</v>
      </c>
      <c r="AZ599" s="197">
        <v>0</v>
      </c>
      <c r="BA599" s="97" t="str">
        <f t="shared" si="94"/>
        <v>HF CHS 323,9 x 14,2</v>
      </c>
    </row>
    <row r="600" spans="1:53">
      <c r="A600" s="82" t="s">
        <v>712</v>
      </c>
      <c r="B600" s="83">
        <f t="shared" si="89"/>
        <v>2618.1005803167</v>
      </c>
      <c r="C600" s="84">
        <v>323.89999999999998</v>
      </c>
      <c r="D600" s="84"/>
      <c r="E600" s="125" t="s">
        <v>830</v>
      </c>
      <c r="F600" s="84"/>
      <c r="G600" s="84"/>
      <c r="H600" s="85">
        <v>108.45487525972406</v>
      </c>
      <c r="I600" s="86">
        <v>110.52726141118376</v>
      </c>
      <c r="J600" s="86">
        <v>13815.90767639797</v>
      </c>
      <c r="K600" s="86">
        <v>1.0175618604977339</v>
      </c>
      <c r="L600" s="87">
        <v>165990756.49119934</v>
      </c>
      <c r="M600" s="88">
        <v>1024950.6421191687</v>
      </c>
      <c r="N600" s="88">
        <v>1362934.507333332</v>
      </c>
      <c r="O600" s="89">
        <v>109.61052070855243</v>
      </c>
      <c r="P600" s="88">
        <v>165990756.49119934</v>
      </c>
      <c r="Q600" s="88">
        <v>1024950.6421191687</v>
      </c>
      <c r="R600" s="88">
        <v>1362934.507333332</v>
      </c>
      <c r="S600" s="86">
        <v>109.61052070855243</v>
      </c>
      <c r="T600" s="87">
        <v>331981512.98239869</v>
      </c>
      <c r="U600" s="119"/>
      <c r="V600" s="90">
        <v>1</v>
      </c>
      <c r="W600" s="91">
        <v>1</v>
      </c>
      <c r="X600" s="91">
        <v>1</v>
      </c>
      <c r="Y600" s="91">
        <v>1</v>
      </c>
      <c r="Z600" s="91">
        <v>1</v>
      </c>
      <c r="AA600" s="92">
        <v>1</v>
      </c>
      <c r="AB600" s="91">
        <v>1</v>
      </c>
      <c r="AC600" s="91">
        <v>1</v>
      </c>
      <c r="AD600" s="91">
        <v>2</v>
      </c>
      <c r="AE600" s="91">
        <v>2</v>
      </c>
      <c r="AF600" s="90">
        <v>1</v>
      </c>
      <c r="AG600" s="91">
        <v>1</v>
      </c>
      <c r="AH600" s="91">
        <v>1</v>
      </c>
      <c r="AI600" s="91">
        <v>2</v>
      </c>
      <c r="AJ600" s="91">
        <v>2</v>
      </c>
      <c r="AK600" s="210">
        <f t="shared" si="90"/>
        <v>73.651466435032575</v>
      </c>
      <c r="AL600" s="146"/>
      <c r="AM600" s="94"/>
      <c r="AN600" s="95"/>
      <c r="AO600" s="91" t="str">
        <f>IF(head!$F$82="S460","a0","a")</f>
        <v>a</v>
      </c>
      <c r="AP600" s="91">
        <f t="shared" si="91"/>
        <v>0.21</v>
      </c>
      <c r="AQ600" s="96">
        <f>IF(head!F$82="S235",235,IF(head!F$82="S275",275,IF(head!F$82="S355",355,IF(head!F$82="S420",420,460))))^0.5*head!$G$70*1000/(S600*3.1416*210000^0.5)</f>
        <v>1.1939919534684849</v>
      </c>
      <c r="AR600" s="96">
        <f t="shared" si="92"/>
        <v>1.317177547587935</v>
      </c>
      <c r="AS600" s="96">
        <f t="shared" si="93"/>
        <v>0.5337999778876984</v>
      </c>
      <c r="AT600" s="50">
        <f>IF(head!F$82="S235",235,IF(head!F$82="S275",275,IF(head!F$82="S355",355,IF(head!F$82="S420",420,460))))*AS600*J600/1000</f>
        <v>2618.1005803167</v>
      </c>
      <c r="AU600" s="207" t="s">
        <v>47</v>
      </c>
      <c r="AV600" s="208" t="s">
        <v>47</v>
      </c>
      <c r="AW600" s="208" t="s">
        <v>47</v>
      </c>
      <c r="AX600" s="209" t="s">
        <v>47</v>
      </c>
      <c r="AY600" s="208" t="s">
        <v>47</v>
      </c>
      <c r="AZ600" s="197">
        <v>0</v>
      </c>
      <c r="BA600" s="97" t="str">
        <f t="shared" si="94"/>
        <v>HF CHS 323,9 x 16</v>
      </c>
    </row>
    <row r="601" spans="1:53">
      <c r="A601" s="82" t="s">
        <v>713</v>
      </c>
      <c r="B601" s="83">
        <f t="shared" si="89"/>
        <v>2909.8014499470878</v>
      </c>
      <c r="C601" s="84">
        <v>323.89999999999998</v>
      </c>
      <c r="D601" s="84"/>
      <c r="E601" s="125" t="s">
        <v>831</v>
      </c>
      <c r="F601" s="84"/>
      <c r="G601" s="84"/>
      <c r="H601" s="85">
        <v>121.49242508186137</v>
      </c>
      <c r="I601" s="86">
        <v>123.81393638915809</v>
      </c>
      <c r="J601" s="86">
        <v>15476.742048644761</v>
      </c>
      <c r="K601" s="86">
        <v>1.0175618604977339</v>
      </c>
      <c r="L601" s="87">
        <v>183899311.39053923</v>
      </c>
      <c r="M601" s="88">
        <v>1135531.4071660342</v>
      </c>
      <c r="N601" s="88">
        <v>1518203.8933333333</v>
      </c>
      <c r="O601" s="89">
        <v>109.0059688732686</v>
      </c>
      <c r="P601" s="88">
        <v>183899311.39053923</v>
      </c>
      <c r="Q601" s="88">
        <v>1135531.4071660342</v>
      </c>
      <c r="R601" s="88">
        <v>1518203.8933333333</v>
      </c>
      <c r="S601" s="86">
        <v>109.0059688732686</v>
      </c>
      <c r="T601" s="87">
        <v>367798622.78107846</v>
      </c>
      <c r="U601" s="119"/>
      <c r="V601" s="90">
        <v>1</v>
      </c>
      <c r="W601" s="91">
        <v>1</v>
      </c>
      <c r="X601" s="91">
        <v>1</v>
      </c>
      <c r="Y601" s="91">
        <v>1</v>
      </c>
      <c r="Z601" s="91">
        <v>1</v>
      </c>
      <c r="AA601" s="92">
        <v>1</v>
      </c>
      <c r="AB601" s="91">
        <v>1</v>
      </c>
      <c r="AC601" s="91">
        <v>1</v>
      </c>
      <c r="AD601" s="91">
        <v>2</v>
      </c>
      <c r="AE601" s="91">
        <v>2</v>
      </c>
      <c r="AF601" s="90">
        <v>1</v>
      </c>
      <c r="AG601" s="91">
        <v>1</v>
      </c>
      <c r="AH601" s="91">
        <v>1</v>
      </c>
      <c r="AI601" s="91">
        <v>2</v>
      </c>
      <c r="AJ601" s="91">
        <v>2</v>
      </c>
      <c r="AK601" s="210">
        <f t="shared" si="90"/>
        <v>65.747807729782366</v>
      </c>
      <c r="AL601" s="146"/>
      <c r="AM601" s="94"/>
      <c r="AN601" s="95"/>
      <c r="AO601" s="91" t="str">
        <f>IF(head!$F$82="S460","a0","a")</f>
        <v>a</v>
      </c>
      <c r="AP601" s="91">
        <f t="shared" si="91"/>
        <v>0.21</v>
      </c>
      <c r="AQ601" s="96">
        <f>IF(head!F$82="S235",235,IF(head!F$82="S275",275,IF(head!F$82="S355",355,IF(head!F$82="S420",420,460))))^0.5*head!$G$70*1000/(S601*3.1416*210000^0.5)</f>
        <v>1.2006138846732128</v>
      </c>
      <c r="AR601" s="96">
        <f t="shared" si="92"/>
        <v>1.3258013079257387</v>
      </c>
      <c r="AS601" s="96">
        <f t="shared" si="93"/>
        <v>0.52960912425271056</v>
      </c>
      <c r="AT601" s="50">
        <f>IF(head!F$82="S235",235,IF(head!F$82="S275",275,IF(head!F$82="S355",355,IF(head!F$82="S420",420,460))))*AS601*J601/1000</f>
        <v>2909.8014499470878</v>
      </c>
      <c r="AU601" s="207" t="s">
        <v>47</v>
      </c>
      <c r="AV601" s="208" t="s">
        <v>47</v>
      </c>
      <c r="AW601" s="208" t="s">
        <v>47</v>
      </c>
      <c r="AX601" s="209" t="s">
        <v>47</v>
      </c>
      <c r="AY601" s="208" t="s">
        <v>47</v>
      </c>
      <c r="AZ601" s="197">
        <v>0</v>
      </c>
      <c r="BA601" s="97" t="str">
        <f t="shared" si="94"/>
        <v>HF CHS 323,9 x 17,5</v>
      </c>
    </row>
    <row r="602" spans="1:53">
      <c r="A602" s="82" t="s">
        <v>714</v>
      </c>
      <c r="B602" s="83">
        <f t="shared" si="89"/>
        <v>3146.2557330911659</v>
      </c>
      <c r="C602" s="84">
        <v>323.89999999999998</v>
      </c>
      <c r="D602" s="84"/>
      <c r="E602" s="125" t="s">
        <v>832</v>
      </c>
      <c r="F602" s="84"/>
      <c r="G602" s="84"/>
      <c r="H602" s="85">
        <v>132.23497549710549</v>
      </c>
      <c r="I602" s="86">
        <v>134.76175846838777</v>
      </c>
      <c r="J602" s="86">
        <v>16845.219808548471</v>
      </c>
      <c r="K602" s="86">
        <v>1.0175618604977339</v>
      </c>
      <c r="L602" s="87">
        <v>198325531.95048931</v>
      </c>
      <c r="M602" s="88">
        <v>1224609.6446464302</v>
      </c>
      <c r="N602" s="88">
        <v>1644703.2583333328</v>
      </c>
      <c r="O602" s="89">
        <v>108.5053051698395</v>
      </c>
      <c r="P602" s="88">
        <v>198325531.95048931</v>
      </c>
      <c r="Q602" s="88">
        <v>1224609.6446464302</v>
      </c>
      <c r="R602" s="88">
        <v>1644703.2583333328</v>
      </c>
      <c r="S602" s="86">
        <v>108.5053051698395</v>
      </c>
      <c r="T602" s="87">
        <v>396651063.90097862</v>
      </c>
      <c r="U602" s="119"/>
      <c r="V602" s="90">
        <v>1</v>
      </c>
      <c r="W602" s="91">
        <v>1</v>
      </c>
      <c r="X602" s="91">
        <v>1</v>
      </c>
      <c r="Y602" s="91">
        <v>1</v>
      </c>
      <c r="Z602" s="91">
        <v>1</v>
      </c>
      <c r="AA602" s="92">
        <v>1</v>
      </c>
      <c r="AB602" s="91">
        <v>1</v>
      </c>
      <c r="AC602" s="91">
        <v>1</v>
      </c>
      <c r="AD602" s="91">
        <v>1</v>
      </c>
      <c r="AE602" s="91">
        <v>2</v>
      </c>
      <c r="AF602" s="90">
        <v>1</v>
      </c>
      <c r="AG602" s="91">
        <v>1</v>
      </c>
      <c r="AH602" s="91">
        <v>1</v>
      </c>
      <c r="AI602" s="91">
        <v>1</v>
      </c>
      <c r="AJ602" s="91">
        <v>2</v>
      </c>
      <c r="AK602" s="210">
        <f t="shared" si="90"/>
        <v>60.406564714658707</v>
      </c>
      <c r="AL602" s="146"/>
      <c r="AM602" s="94"/>
      <c r="AN602" s="95"/>
      <c r="AO602" s="91" t="str">
        <f>IF(head!$F$82="S460","a0","a")</f>
        <v>a</v>
      </c>
      <c r="AP602" s="91">
        <f t="shared" si="91"/>
        <v>0.21</v>
      </c>
      <c r="AQ602" s="96">
        <f>IF(head!F$82="S235",235,IF(head!F$82="S275",275,IF(head!F$82="S355",355,IF(head!F$82="S420",420,460))))^0.5*head!$G$70*1000/(S602*3.1416*210000^0.5)</f>
        <v>1.2061537409313747</v>
      </c>
      <c r="AR602" s="96">
        <f t="shared" si="92"/>
        <v>1.3330495661791693</v>
      </c>
      <c r="AS602" s="96">
        <f t="shared" si="93"/>
        <v>0.52612505545300414</v>
      </c>
      <c r="AT602" s="50">
        <f>IF(head!F$82="S235",235,IF(head!F$82="S275",275,IF(head!F$82="S355",355,IF(head!F$82="S420",420,460))))*AS602*J602/1000</f>
        <v>3146.2557330911659</v>
      </c>
      <c r="AU602" s="207" t="s">
        <v>47</v>
      </c>
      <c r="AV602" s="208" t="s">
        <v>47</v>
      </c>
      <c r="AW602" s="208" t="s">
        <v>47</v>
      </c>
      <c r="AX602" s="209" t="s">
        <v>47</v>
      </c>
      <c r="AY602" s="208" t="s">
        <v>47</v>
      </c>
      <c r="AZ602" s="197">
        <v>0</v>
      </c>
      <c r="BA602" s="97" t="str">
        <f t="shared" si="94"/>
        <v>HF CHS 323,9 x 20</v>
      </c>
    </row>
    <row r="603" spans="1:53">
      <c r="A603" s="82" t="s">
        <v>715</v>
      </c>
      <c r="B603" s="83">
        <f t="shared" ref="B603:B625" si="95">AT603</f>
        <v>3527.1510942276955</v>
      </c>
      <c r="C603" s="84">
        <v>323.89999999999998</v>
      </c>
      <c r="D603" s="84"/>
      <c r="E603" s="125" t="s">
        <v>833</v>
      </c>
      <c r="F603" s="84"/>
      <c r="G603" s="84"/>
      <c r="H603" s="85">
        <v>149.89261116587227</v>
      </c>
      <c r="I603" s="86">
        <v>152.75680118815009</v>
      </c>
      <c r="J603" s="86">
        <v>19094.600148518763</v>
      </c>
      <c r="K603" s="86">
        <v>1.0175618604977339</v>
      </c>
      <c r="L603" s="87">
        <v>221390455.83023614</v>
      </c>
      <c r="M603" s="88">
        <v>1367029.6747776237</v>
      </c>
      <c r="N603" s="88">
        <v>1849770.8666666658</v>
      </c>
      <c r="O603" s="89">
        <v>107.67730146135722</v>
      </c>
      <c r="P603" s="88">
        <v>221390455.83023614</v>
      </c>
      <c r="Q603" s="88">
        <v>1367029.6747776237</v>
      </c>
      <c r="R603" s="88">
        <v>1849770.8666666658</v>
      </c>
      <c r="S603" s="86">
        <v>107.67730146135722</v>
      </c>
      <c r="T603" s="87">
        <v>442780911.66047227</v>
      </c>
      <c r="U603" s="119"/>
      <c r="V603" s="90">
        <v>1</v>
      </c>
      <c r="W603" s="91">
        <v>1</v>
      </c>
      <c r="X603" s="91">
        <v>1</v>
      </c>
      <c r="Y603" s="91">
        <v>1</v>
      </c>
      <c r="Z603" s="91">
        <v>1</v>
      </c>
      <c r="AA603" s="92">
        <v>1</v>
      </c>
      <c r="AB603" s="91">
        <v>1</v>
      </c>
      <c r="AC603" s="91">
        <v>1</v>
      </c>
      <c r="AD603" s="91">
        <v>1</v>
      </c>
      <c r="AE603" s="91">
        <v>1</v>
      </c>
      <c r="AF603" s="90">
        <v>1</v>
      </c>
      <c r="AG603" s="91">
        <v>1</v>
      </c>
      <c r="AH603" s="91">
        <v>1</v>
      </c>
      <c r="AI603" s="91">
        <v>1</v>
      </c>
      <c r="AJ603" s="91">
        <v>1</v>
      </c>
      <c r="AK603" s="210">
        <f t="shared" si="90"/>
        <v>53.290556103981572</v>
      </c>
      <c r="AL603" s="146"/>
      <c r="AM603" s="94"/>
      <c r="AN603" s="95"/>
      <c r="AO603" s="91" t="str">
        <f>IF(head!$F$82="S460","a0","a")</f>
        <v>a</v>
      </c>
      <c r="AP603" s="91">
        <f t="shared" si="91"/>
        <v>0.21</v>
      </c>
      <c r="AQ603" s="96">
        <f>IF(head!F$82="S235",235,IF(head!F$82="S275",275,IF(head!F$82="S355",355,IF(head!F$82="S420",420,460))))^0.5*head!$G$70*1000/(S603*3.1416*210000^0.5)</f>
        <v>1.2154286740596847</v>
      </c>
      <c r="AR603" s="96">
        <f t="shared" si="92"/>
        <v>1.3452534416395086</v>
      </c>
      <c r="AS603" s="96">
        <f t="shared" si="93"/>
        <v>0.52033751992021582</v>
      </c>
      <c r="AT603" s="50">
        <f>IF(head!F$82="S235",235,IF(head!F$82="S275",275,IF(head!F$82="S355",355,IF(head!F$82="S420",420,460))))*AS603*J603/1000</f>
        <v>3527.1510942276955</v>
      </c>
      <c r="AU603" s="207" t="s">
        <v>47</v>
      </c>
      <c r="AV603" s="208" t="s">
        <v>47</v>
      </c>
      <c r="AW603" s="208" t="s">
        <v>47</v>
      </c>
      <c r="AX603" s="209" t="s">
        <v>47</v>
      </c>
      <c r="AY603" s="208" t="s">
        <v>47</v>
      </c>
      <c r="AZ603" s="197">
        <v>0</v>
      </c>
      <c r="BA603" s="97" t="str">
        <f t="shared" si="94"/>
        <v>HF CHS 355,6 x 5,6</v>
      </c>
    </row>
    <row r="604" spans="1:53">
      <c r="A604" s="82" t="s">
        <v>716</v>
      </c>
      <c r="B604" s="83">
        <f t="shared" si="95"/>
        <v>1367.0702726588572</v>
      </c>
      <c r="C604" s="84">
        <v>355.6</v>
      </c>
      <c r="D604" s="84"/>
      <c r="E604" s="125" t="s">
        <v>823</v>
      </c>
      <c r="F604" s="84"/>
      <c r="G604" s="84"/>
      <c r="H604" s="85">
        <v>48.336544568132467</v>
      </c>
      <c r="I604" s="86">
        <v>49.260172808287862</v>
      </c>
      <c r="J604" s="86">
        <v>6157.5216010359827</v>
      </c>
      <c r="K604" s="86">
        <v>1.1171503476165305</v>
      </c>
      <c r="L604" s="87">
        <v>94311187.000539601</v>
      </c>
      <c r="M604" s="88">
        <v>530434.1226127086</v>
      </c>
      <c r="N604" s="88">
        <v>686058.53866666683</v>
      </c>
      <c r="O604" s="89">
        <v>123.75952488596589</v>
      </c>
      <c r="P604" s="88">
        <v>94311187.000539601</v>
      </c>
      <c r="Q604" s="88">
        <v>530434.1226127086</v>
      </c>
      <c r="R604" s="88">
        <v>686058.53866666683</v>
      </c>
      <c r="S604" s="86">
        <v>123.75952488596589</v>
      </c>
      <c r="T604" s="87">
        <v>188622374.0010792</v>
      </c>
      <c r="U604" s="119"/>
      <c r="V604" s="90">
        <v>2</v>
      </c>
      <c r="W604" s="91">
        <v>3</v>
      </c>
      <c r="X604" s="91">
        <v>4</v>
      </c>
      <c r="Y604" s="91">
        <v>4</v>
      </c>
      <c r="Z604" s="91">
        <v>4</v>
      </c>
      <c r="AA604" s="92">
        <v>3</v>
      </c>
      <c r="AB604" s="91">
        <v>4</v>
      </c>
      <c r="AC604" s="91">
        <v>4</v>
      </c>
      <c r="AD604" s="91">
        <v>4</v>
      </c>
      <c r="AE604" s="91">
        <v>4</v>
      </c>
      <c r="AF604" s="90">
        <v>3</v>
      </c>
      <c r="AG604" s="91">
        <v>4</v>
      </c>
      <c r="AH604" s="91">
        <v>4</v>
      </c>
      <c r="AI604" s="91">
        <v>4</v>
      </c>
      <c r="AJ604" s="91">
        <v>4</v>
      </c>
      <c r="AK604" s="210">
        <f t="shared" si="90"/>
        <v>181.42857142857181</v>
      </c>
      <c r="AL604" s="146"/>
      <c r="AM604" s="94"/>
      <c r="AN604" s="95"/>
      <c r="AO604" s="91" t="str">
        <f>IF(head!$F$82="S460","a0","a")</f>
        <v>a</v>
      </c>
      <c r="AP604" s="91">
        <f t="shared" si="91"/>
        <v>0.21</v>
      </c>
      <c r="AQ604" s="96">
        <f>IF(head!F$82="S235",235,IF(head!F$82="S275",275,IF(head!F$82="S355",355,IF(head!F$82="S420",420,460))))^0.5*head!$G$70*1000/(S604*3.1416*210000^0.5)</f>
        <v>1.0574869276695424</v>
      </c>
      <c r="AR604" s="96">
        <f t="shared" si="92"/>
        <v>1.1491754285012861</v>
      </c>
      <c r="AS604" s="96">
        <f t="shared" si="93"/>
        <v>0.62539807832032968</v>
      </c>
      <c r="AT604" s="50">
        <f>IF(head!F$82="S235",235,IF(head!F$82="S275",275,IF(head!F$82="S355",355,IF(head!F$82="S420",420,460))))*AS604*J604/1000</f>
        <v>1367.0702726588572</v>
      </c>
      <c r="AU604" s="207" t="s">
        <v>47</v>
      </c>
      <c r="AV604" s="208" t="s">
        <v>47</v>
      </c>
      <c r="AW604" s="208" t="s">
        <v>47</v>
      </c>
      <c r="AX604" s="209" t="s">
        <v>47</v>
      </c>
      <c r="AY604" s="208" t="s">
        <v>47</v>
      </c>
      <c r="AZ604" s="197">
        <v>0</v>
      </c>
      <c r="BA604" s="97" t="str">
        <f t="shared" si="94"/>
        <v>HF CHS 355,6 x 8</v>
      </c>
    </row>
    <row r="605" spans="1:53">
      <c r="A605" s="82" t="s">
        <v>717</v>
      </c>
      <c r="B605" s="83">
        <f t="shared" si="95"/>
        <v>1924.1189037138665</v>
      </c>
      <c r="C605" s="84">
        <v>355.6</v>
      </c>
      <c r="D605" s="84"/>
      <c r="E605" s="125" t="s">
        <v>826</v>
      </c>
      <c r="F605" s="84"/>
      <c r="G605" s="84"/>
      <c r="H605" s="85">
        <v>68.578705681154574</v>
      </c>
      <c r="I605" s="86">
        <v>69.889126808819952</v>
      </c>
      <c r="J605" s="86">
        <v>8736.1408511024947</v>
      </c>
      <c r="K605" s="86">
        <v>1.1171503476165305</v>
      </c>
      <c r="L605" s="87">
        <v>132013746.35199709</v>
      </c>
      <c r="M605" s="88">
        <v>742484.5126659004</v>
      </c>
      <c r="N605" s="88">
        <v>966776.7466666674</v>
      </c>
      <c r="O605" s="89">
        <v>122.9277023294587</v>
      </c>
      <c r="P605" s="88">
        <v>132013746.35199709</v>
      </c>
      <c r="Q605" s="88">
        <v>742484.5126659004</v>
      </c>
      <c r="R605" s="88">
        <v>966776.7466666674</v>
      </c>
      <c r="S605" s="86">
        <v>122.9277023294587</v>
      </c>
      <c r="T605" s="87">
        <v>264027492.70399418</v>
      </c>
      <c r="U605" s="119"/>
      <c r="V605" s="90">
        <v>1</v>
      </c>
      <c r="W605" s="91">
        <v>2</v>
      </c>
      <c r="X605" s="91">
        <v>2</v>
      </c>
      <c r="Y605" s="91">
        <v>3</v>
      </c>
      <c r="Z605" s="91">
        <v>3</v>
      </c>
      <c r="AA605" s="92">
        <v>2</v>
      </c>
      <c r="AB605" s="91">
        <v>3</v>
      </c>
      <c r="AC605" s="91">
        <v>4</v>
      </c>
      <c r="AD605" s="91">
        <v>4</v>
      </c>
      <c r="AE605" s="91">
        <v>4</v>
      </c>
      <c r="AF605" s="90">
        <v>2</v>
      </c>
      <c r="AG605" s="91">
        <v>3</v>
      </c>
      <c r="AH605" s="91">
        <v>4</v>
      </c>
      <c r="AI605" s="91">
        <v>4</v>
      </c>
      <c r="AJ605" s="91">
        <v>4</v>
      </c>
      <c r="AK605" s="210">
        <f t="shared" si="90"/>
        <v>127.87686996547761</v>
      </c>
      <c r="AL605" s="146"/>
      <c r="AM605" s="94"/>
      <c r="AN605" s="95"/>
      <c r="AO605" s="91" t="str">
        <f>IF(head!$F$82="S460","a0","a")</f>
        <v>a</v>
      </c>
      <c r="AP605" s="91">
        <f t="shared" si="91"/>
        <v>0.21</v>
      </c>
      <c r="AQ605" s="96">
        <f>IF(head!F$82="S235",235,IF(head!F$82="S275",275,IF(head!F$82="S355",355,IF(head!F$82="S420",420,460))))^0.5*head!$G$70*1000/(S605*3.1416*210000^0.5)</f>
        <v>1.0646426904714004</v>
      </c>
      <c r="AR605" s="96">
        <f t="shared" si="92"/>
        <v>1.157519511686588</v>
      </c>
      <c r="AS605" s="96">
        <f t="shared" si="93"/>
        <v>0.62041733784708941</v>
      </c>
      <c r="AT605" s="50">
        <f>IF(head!F$82="S235",235,IF(head!F$82="S275",275,IF(head!F$82="S355",355,IF(head!F$82="S420",420,460))))*AS605*J605/1000</f>
        <v>1924.1189037138665</v>
      </c>
      <c r="AU605" s="207" t="s">
        <v>47</v>
      </c>
      <c r="AV605" s="208" t="s">
        <v>47</v>
      </c>
      <c r="AW605" s="208" t="s">
        <v>47</v>
      </c>
      <c r="AX605" s="209" t="s">
        <v>47</v>
      </c>
      <c r="AY605" s="208" t="s">
        <v>47</v>
      </c>
      <c r="AZ605" s="197">
        <v>0</v>
      </c>
      <c r="BA605" s="97" t="str">
        <f t="shared" si="94"/>
        <v>HF CHS 355,6 x 10</v>
      </c>
    </row>
    <row r="606" spans="1:53">
      <c r="A606" s="82" t="s">
        <v>718</v>
      </c>
      <c r="B606" s="83">
        <f t="shared" si="95"/>
        <v>2375.2561329807131</v>
      </c>
      <c r="C606" s="84">
        <v>355.6</v>
      </c>
      <c r="D606" s="84"/>
      <c r="E606" s="125">
        <v>10</v>
      </c>
      <c r="F606" s="84"/>
      <c r="G606" s="84"/>
      <c r="H606" s="85">
        <v>85.230152054829645</v>
      </c>
      <c r="I606" s="86">
        <v>86.858753686450598</v>
      </c>
      <c r="J606" s="86">
        <v>10857.344210806325</v>
      </c>
      <c r="K606" s="86">
        <v>1.1171503476165305</v>
      </c>
      <c r="L606" s="87">
        <v>162234997.28243667</v>
      </c>
      <c r="M606" s="88">
        <v>912457.80248839525</v>
      </c>
      <c r="N606" s="88">
        <v>1194726.9333333336</v>
      </c>
      <c r="O606" s="89">
        <v>122.23919175125465</v>
      </c>
      <c r="P606" s="88">
        <v>162234997.28243667</v>
      </c>
      <c r="Q606" s="88">
        <v>912457.80248839525</v>
      </c>
      <c r="R606" s="88">
        <v>1194726.9333333336</v>
      </c>
      <c r="S606" s="86">
        <v>122.23919175125465</v>
      </c>
      <c r="T606" s="87">
        <v>324469994.56487334</v>
      </c>
      <c r="U606" s="119"/>
      <c r="V606" s="90">
        <v>1</v>
      </c>
      <c r="W606" s="91">
        <v>1</v>
      </c>
      <c r="X606" s="91">
        <v>2</v>
      </c>
      <c r="Y606" s="91">
        <v>2</v>
      </c>
      <c r="Z606" s="91">
        <v>2</v>
      </c>
      <c r="AA606" s="92">
        <v>1</v>
      </c>
      <c r="AB606" s="91">
        <v>2</v>
      </c>
      <c r="AC606" s="91">
        <v>3</v>
      </c>
      <c r="AD606" s="91">
        <v>3</v>
      </c>
      <c r="AE606" s="91">
        <v>4</v>
      </c>
      <c r="AF606" s="90">
        <v>1</v>
      </c>
      <c r="AG606" s="91">
        <v>2</v>
      </c>
      <c r="AH606" s="91">
        <v>3</v>
      </c>
      <c r="AI606" s="91">
        <v>3</v>
      </c>
      <c r="AJ606" s="91">
        <v>4</v>
      </c>
      <c r="AK606" s="210">
        <f t="shared" si="90"/>
        <v>102.89351851851853</v>
      </c>
      <c r="AL606" s="146"/>
      <c r="AM606" s="94"/>
      <c r="AN606" s="95"/>
      <c r="AO606" s="91" t="str">
        <f>IF(head!$F$82="S460","a0","a")</f>
        <v>a</v>
      </c>
      <c r="AP606" s="91">
        <f t="shared" si="91"/>
        <v>0.21</v>
      </c>
      <c r="AQ606" s="96">
        <f>IF(head!F$82="S235",235,IF(head!F$82="S275",275,IF(head!F$82="S355",355,IF(head!F$82="S420",420,460))))^0.5*head!$G$70*1000/(S606*3.1416*210000^0.5)</f>
        <v>1.0706392758864023</v>
      </c>
      <c r="AR606" s="96">
        <f t="shared" si="92"/>
        <v>1.1645513535033523</v>
      </c>
      <c r="AS606" s="96">
        <f t="shared" si="93"/>
        <v>0.61625220832228222</v>
      </c>
      <c r="AT606" s="50">
        <f>IF(head!F$82="S235",235,IF(head!F$82="S275",275,IF(head!F$82="S355",355,IF(head!F$82="S420",420,460))))*AS606*J606/1000</f>
        <v>2375.2561329807131</v>
      </c>
      <c r="AU606" s="207" t="s">
        <v>47</v>
      </c>
      <c r="AV606" s="208" t="s">
        <v>47</v>
      </c>
      <c r="AW606" s="208" t="s">
        <v>47</v>
      </c>
      <c r="AX606" s="209" t="s">
        <v>47</v>
      </c>
      <c r="AY606" s="208" t="s">
        <v>47</v>
      </c>
      <c r="AZ606" s="197">
        <v>0</v>
      </c>
      <c r="BA606" s="97" t="str">
        <f t="shared" si="94"/>
        <v>HF CHS 355,6 x 12,5</v>
      </c>
    </row>
    <row r="607" spans="1:53">
      <c r="A607" s="82" t="s">
        <v>719</v>
      </c>
      <c r="B607" s="83">
        <f t="shared" si="95"/>
        <v>2922.6138751608682</v>
      </c>
      <c r="C607" s="84">
        <v>355.6</v>
      </c>
      <c r="D607" s="84"/>
      <c r="E607" s="125" t="s">
        <v>829</v>
      </c>
      <c r="F607" s="84"/>
      <c r="G607" s="84"/>
      <c r="H607" s="85">
        <v>105.7670181207033</v>
      </c>
      <c r="I607" s="86">
        <v>107.78804394466579</v>
      </c>
      <c r="J607" s="86">
        <v>13473.505493083225</v>
      </c>
      <c r="K607" s="86">
        <v>1.1171503476165305</v>
      </c>
      <c r="L607" s="87">
        <v>198521762.5251154</v>
      </c>
      <c r="M607" s="88">
        <v>1116545.3460355198</v>
      </c>
      <c r="N607" s="88">
        <v>1472121.1666666679</v>
      </c>
      <c r="O607" s="89">
        <v>121.38464688748739</v>
      </c>
      <c r="P607" s="88">
        <v>198521762.5251154</v>
      </c>
      <c r="Q607" s="88">
        <v>1116545.3460355198</v>
      </c>
      <c r="R607" s="88">
        <v>1472121.1666666679</v>
      </c>
      <c r="S607" s="86">
        <v>121.38464688748739</v>
      </c>
      <c r="T607" s="87">
        <v>397043525.0502308</v>
      </c>
      <c r="U607" s="119"/>
      <c r="V607" s="90">
        <v>1</v>
      </c>
      <c r="W607" s="91">
        <v>1</v>
      </c>
      <c r="X607" s="91">
        <v>1</v>
      </c>
      <c r="Y607" s="91">
        <v>2</v>
      </c>
      <c r="Z607" s="91">
        <v>2</v>
      </c>
      <c r="AA607" s="92">
        <v>1</v>
      </c>
      <c r="AB607" s="91">
        <v>1</v>
      </c>
      <c r="AC607" s="91">
        <v>2</v>
      </c>
      <c r="AD607" s="91">
        <v>3</v>
      </c>
      <c r="AE607" s="91">
        <v>3</v>
      </c>
      <c r="AF607" s="90">
        <v>1</v>
      </c>
      <c r="AG607" s="91">
        <v>1</v>
      </c>
      <c r="AH607" s="91">
        <v>2</v>
      </c>
      <c r="AI607" s="91">
        <v>3</v>
      </c>
      <c r="AJ607" s="91">
        <v>3</v>
      </c>
      <c r="AK607" s="210">
        <f t="shared" si="90"/>
        <v>82.9146021568056</v>
      </c>
      <c r="AL607" s="146"/>
      <c r="AM607" s="94"/>
      <c r="AN607" s="95"/>
      <c r="AO607" s="91" t="str">
        <f>IF(head!$F$82="S460","a0","a")</f>
        <v>a</v>
      </c>
      <c r="AP607" s="91">
        <f t="shared" si="91"/>
        <v>0.21</v>
      </c>
      <c r="AQ607" s="96">
        <f>IF(head!F$82="S235",235,IF(head!F$82="S275",275,IF(head!F$82="S355",355,IF(head!F$82="S420",420,460))))^0.5*head!$G$70*1000/(S607*3.1416*210000^0.5)</f>
        <v>1.0781765494841435</v>
      </c>
      <c r="AR607" s="96">
        <f t="shared" si="92"/>
        <v>1.1734408736246018</v>
      </c>
      <c r="AS607" s="96">
        <f t="shared" si="93"/>
        <v>0.61102993170742215</v>
      </c>
      <c r="AT607" s="50">
        <f>IF(head!F$82="S235",235,IF(head!F$82="S275",275,IF(head!F$82="S355",355,IF(head!F$82="S420",420,460))))*AS607*J607/1000</f>
        <v>2922.6138751608682</v>
      </c>
      <c r="AU607" s="207" t="s">
        <v>47</v>
      </c>
      <c r="AV607" s="208" t="s">
        <v>47</v>
      </c>
      <c r="AW607" s="208" t="s">
        <v>47</v>
      </c>
      <c r="AX607" s="209" t="s">
        <v>47</v>
      </c>
      <c r="AY607" s="208" t="s">
        <v>47</v>
      </c>
      <c r="AZ607" s="197">
        <v>0</v>
      </c>
      <c r="BA607" s="97" t="str">
        <f t="shared" si="94"/>
        <v>HF CHS 355,6 x 14,2</v>
      </c>
    </row>
    <row r="608" spans="1:53">
      <c r="A608" s="82" t="s">
        <v>720</v>
      </c>
      <c r="B608" s="83">
        <f t="shared" si="95"/>
        <v>3284.3930199406996</v>
      </c>
      <c r="C608" s="84">
        <v>355.6</v>
      </c>
      <c r="D608" s="84"/>
      <c r="E608" s="125" t="s">
        <v>830</v>
      </c>
      <c r="F608" s="84"/>
      <c r="G608" s="84"/>
      <c r="H608" s="85">
        <v>119.55600391885629</v>
      </c>
      <c r="I608" s="86">
        <v>121.84051354787903</v>
      </c>
      <c r="J608" s="86">
        <v>15230.064193484877</v>
      </c>
      <c r="K608" s="86">
        <v>1.1171503476165305</v>
      </c>
      <c r="L608" s="87">
        <v>222274410.36860543</v>
      </c>
      <c r="M608" s="88">
        <v>1250137.29116201</v>
      </c>
      <c r="N608" s="88">
        <v>1656020.6613333325</v>
      </c>
      <c r="O608" s="89">
        <v>120.80749148955955</v>
      </c>
      <c r="P608" s="88">
        <v>222274410.36860543</v>
      </c>
      <c r="Q608" s="88">
        <v>1250137.29116201</v>
      </c>
      <c r="R608" s="88">
        <v>1656020.6613333325</v>
      </c>
      <c r="S608" s="86">
        <v>120.80749148955955</v>
      </c>
      <c r="T608" s="87">
        <v>444548820.73721087</v>
      </c>
      <c r="U608" s="119"/>
      <c r="V608" s="90">
        <v>1</v>
      </c>
      <c r="W608" s="91">
        <v>1</v>
      </c>
      <c r="X608" s="91">
        <v>1</v>
      </c>
      <c r="Y608" s="91">
        <v>1</v>
      </c>
      <c r="Z608" s="91">
        <v>1</v>
      </c>
      <c r="AA608" s="92">
        <v>1</v>
      </c>
      <c r="AB608" s="91">
        <v>1</v>
      </c>
      <c r="AC608" s="91">
        <v>2</v>
      </c>
      <c r="AD608" s="91">
        <v>2</v>
      </c>
      <c r="AE608" s="91">
        <v>2</v>
      </c>
      <c r="AF608" s="90">
        <v>1</v>
      </c>
      <c r="AG608" s="91">
        <v>1</v>
      </c>
      <c r="AH608" s="91">
        <v>2</v>
      </c>
      <c r="AI608" s="91">
        <v>2</v>
      </c>
      <c r="AJ608" s="91">
        <v>2</v>
      </c>
      <c r="AK608" s="210">
        <f t="shared" si="90"/>
        <v>73.351650618414709</v>
      </c>
      <c r="AL608" s="146"/>
      <c r="AM608" s="94"/>
      <c r="AN608" s="95"/>
      <c r="AO608" s="91" t="str">
        <f>IF(head!$F$82="S460","a0","a")</f>
        <v>a</v>
      </c>
      <c r="AP608" s="91">
        <f t="shared" si="91"/>
        <v>0.21</v>
      </c>
      <c r="AQ608" s="96">
        <f>IF(head!F$82="S235",235,IF(head!F$82="S275",275,IF(head!F$82="S355",355,IF(head!F$82="S420",420,460))))^0.5*head!$G$70*1000/(S608*3.1416*210000^0.5)</f>
        <v>1.0833275165953824</v>
      </c>
      <c r="AR608" s="96">
        <f t="shared" si="92"/>
        <v>1.1795486433488744</v>
      </c>
      <c r="AS608" s="96">
        <f t="shared" si="93"/>
        <v>0.60747027761933936</v>
      </c>
      <c r="AT608" s="50">
        <f>IF(head!F$82="S235",235,IF(head!F$82="S275",275,IF(head!F$82="S355",355,IF(head!F$82="S420",420,460))))*AS608*J608/1000</f>
        <v>3284.3930199406996</v>
      </c>
      <c r="AU608" s="207" t="s">
        <v>47</v>
      </c>
      <c r="AV608" s="208" t="s">
        <v>47</v>
      </c>
      <c r="AW608" s="208" t="s">
        <v>47</v>
      </c>
      <c r="AX608" s="209" t="s">
        <v>47</v>
      </c>
      <c r="AY608" s="208" t="s">
        <v>47</v>
      </c>
      <c r="AZ608" s="197">
        <v>0</v>
      </c>
      <c r="BA608" s="97" t="str">
        <f t="shared" si="94"/>
        <v>HF CHS 355,6 x 16</v>
      </c>
    </row>
    <row r="609" spans="1:53">
      <c r="A609" s="82" t="s">
        <v>721</v>
      </c>
      <c r="B609" s="83">
        <f t="shared" si="95"/>
        <v>3658.3354756273343</v>
      </c>
      <c r="C609" s="84">
        <v>355.6</v>
      </c>
      <c r="D609" s="84"/>
      <c r="E609" s="125" t="s">
        <v>831</v>
      </c>
      <c r="F609" s="84"/>
      <c r="G609" s="84"/>
      <c r="H609" s="85">
        <v>134.00073906398211</v>
      </c>
      <c r="I609" s="86">
        <v>136.56126274036393</v>
      </c>
      <c r="J609" s="86">
        <v>17070.157842545494</v>
      </c>
      <c r="K609" s="86">
        <v>1.1171503476165305</v>
      </c>
      <c r="L609" s="87">
        <v>246629981.91225427</v>
      </c>
      <c r="M609" s="88">
        <v>1387120.258224152</v>
      </c>
      <c r="N609" s="88">
        <v>1846615.8933333331</v>
      </c>
      <c r="O609" s="89">
        <v>120.1999168052957</v>
      </c>
      <c r="P609" s="88">
        <v>246629981.91225427</v>
      </c>
      <c r="Q609" s="88">
        <v>1387120.258224152</v>
      </c>
      <c r="R609" s="88">
        <v>1846615.8933333331</v>
      </c>
      <c r="S609" s="86">
        <v>120.1999168052957</v>
      </c>
      <c r="T609" s="87">
        <v>493259963.82450855</v>
      </c>
      <c r="U609" s="119"/>
      <c r="V609" s="90">
        <v>1</v>
      </c>
      <c r="W609" s="91">
        <v>1</v>
      </c>
      <c r="X609" s="91">
        <v>1</v>
      </c>
      <c r="Y609" s="91">
        <v>1</v>
      </c>
      <c r="Z609" s="91">
        <v>1</v>
      </c>
      <c r="AA609" s="92">
        <v>1</v>
      </c>
      <c r="AB609" s="91">
        <v>1</v>
      </c>
      <c r="AC609" s="91">
        <v>1</v>
      </c>
      <c r="AD609" s="91">
        <v>2</v>
      </c>
      <c r="AE609" s="91">
        <v>2</v>
      </c>
      <c r="AF609" s="90">
        <v>1</v>
      </c>
      <c r="AG609" s="91">
        <v>1</v>
      </c>
      <c r="AH609" s="91">
        <v>1</v>
      </c>
      <c r="AI609" s="91">
        <v>2</v>
      </c>
      <c r="AJ609" s="91">
        <v>2</v>
      </c>
      <c r="AK609" s="210">
        <f t="shared" si="90"/>
        <v>65.444640753828068</v>
      </c>
      <c r="AL609" s="146"/>
      <c r="AM609" s="94"/>
      <c r="AN609" s="95"/>
      <c r="AO609" s="91" t="str">
        <f>IF(head!$F$82="S460","a0","a")</f>
        <v>a</v>
      </c>
      <c r="AP609" s="91">
        <f t="shared" si="91"/>
        <v>0.21</v>
      </c>
      <c r="AQ609" s="96">
        <f>IF(head!F$82="S235",235,IF(head!F$82="S275",275,IF(head!F$82="S355",355,IF(head!F$82="S420",420,460))))^0.5*head!$G$70*1000/(S609*3.1416*210000^0.5)</f>
        <v>1.0888034136787055</v>
      </c>
      <c r="AR609" s="96">
        <f t="shared" si="92"/>
        <v>1.1860707952554652</v>
      </c>
      <c r="AS609" s="96">
        <f t="shared" si="93"/>
        <v>0.60369508290048202</v>
      </c>
      <c r="AT609" s="50">
        <f>IF(head!F$82="S235",235,IF(head!F$82="S275",275,IF(head!F$82="S355",355,IF(head!F$82="S420",420,460))))*AS609*J609/1000</f>
        <v>3658.3354756273343</v>
      </c>
      <c r="AU609" s="207" t="s">
        <v>47</v>
      </c>
      <c r="AV609" s="208" t="s">
        <v>47</v>
      </c>
      <c r="AW609" s="208" t="s">
        <v>47</v>
      </c>
      <c r="AX609" s="209" t="s">
        <v>47</v>
      </c>
      <c r="AY609" s="208" t="s">
        <v>47</v>
      </c>
      <c r="AZ609" s="197">
        <v>0</v>
      </c>
      <c r="BA609" s="97" t="str">
        <f t="shared" si="94"/>
        <v>HF CHS 355,6 x 17,5</v>
      </c>
    </row>
    <row r="610" spans="1:53">
      <c r="A610" s="82" t="s">
        <v>722</v>
      </c>
      <c r="B610" s="83">
        <f t="shared" si="95"/>
        <v>3962.8452496088057</v>
      </c>
      <c r="C610" s="84">
        <v>355.6</v>
      </c>
      <c r="D610" s="84"/>
      <c r="E610" s="125" t="s">
        <v>832</v>
      </c>
      <c r="F610" s="84"/>
      <c r="G610" s="84"/>
      <c r="H610" s="85">
        <v>145.91594391505015</v>
      </c>
      <c r="I610" s="86">
        <v>148.70414666501927</v>
      </c>
      <c r="J610" s="86">
        <v>18588.018333127409</v>
      </c>
      <c r="K610" s="86">
        <v>1.1171503476165305</v>
      </c>
      <c r="L610" s="87">
        <v>266314860.37297881</v>
      </c>
      <c r="M610" s="88">
        <v>1497833.8603654602</v>
      </c>
      <c r="N610" s="88">
        <v>2002239.633333334</v>
      </c>
      <c r="O610" s="89">
        <v>119.69641807506187</v>
      </c>
      <c r="P610" s="88">
        <v>266314860.37297881</v>
      </c>
      <c r="Q610" s="88">
        <v>1497833.8603654602</v>
      </c>
      <c r="R610" s="88">
        <v>2002239.633333334</v>
      </c>
      <c r="S610" s="86">
        <v>119.69641807506187</v>
      </c>
      <c r="T610" s="87">
        <v>532629720.74595761</v>
      </c>
      <c r="U610" s="119"/>
      <c r="V610" s="90">
        <v>1</v>
      </c>
      <c r="W610" s="91">
        <v>1</v>
      </c>
      <c r="X610" s="91">
        <v>1</v>
      </c>
      <c r="Y610" s="91">
        <v>1</v>
      </c>
      <c r="Z610" s="91">
        <v>1</v>
      </c>
      <c r="AA610" s="92">
        <v>1</v>
      </c>
      <c r="AB610" s="91">
        <v>1</v>
      </c>
      <c r="AC610" s="91">
        <v>1</v>
      </c>
      <c r="AD610" s="91">
        <v>2</v>
      </c>
      <c r="AE610" s="91">
        <v>2</v>
      </c>
      <c r="AF610" s="90">
        <v>1</v>
      </c>
      <c r="AG610" s="91">
        <v>1</v>
      </c>
      <c r="AH610" s="91">
        <v>1</v>
      </c>
      <c r="AI610" s="91">
        <v>2</v>
      </c>
      <c r="AJ610" s="91">
        <v>2</v>
      </c>
      <c r="AK610" s="210">
        <f t="shared" si="90"/>
        <v>60.100561963916007</v>
      </c>
      <c r="AL610" s="146"/>
      <c r="AM610" s="94"/>
      <c r="AN610" s="95"/>
      <c r="AO610" s="91" t="str">
        <f>IF(head!$F$82="S460","a0","a")</f>
        <v>a</v>
      </c>
      <c r="AP610" s="91">
        <f t="shared" si="91"/>
        <v>0.21</v>
      </c>
      <c r="AQ610" s="96">
        <f>IF(head!F$82="S235",235,IF(head!F$82="S275",275,IF(head!F$82="S355",355,IF(head!F$82="S420",420,460))))^0.5*head!$G$70*1000/(S610*3.1416*210000^0.5)</f>
        <v>1.0933834265569329</v>
      </c>
      <c r="AR610" s="96">
        <f t="shared" si="92"/>
        <v>1.1915489185231678</v>
      </c>
      <c r="AS610" s="96">
        <f t="shared" si="93"/>
        <v>0.60054515575771317</v>
      </c>
      <c r="AT610" s="50">
        <f>IF(head!F$82="S235",235,IF(head!F$82="S275",275,IF(head!F$82="S355",355,IF(head!F$82="S420",420,460))))*AS610*J610/1000</f>
        <v>3962.8452496088057</v>
      </c>
      <c r="AU610" s="207" t="s">
        <v>47</v>
      </c>
      <c r="AV610" s="208" t="s">
        <v>47</v>
      </c>
      <c r="AW610" s="208" t="s">
        <v>47</v>
      </c>
      <c r="AX610" s="209" t="s">
        <v>47</v>
      </c>
      <c r="AY610" s="208" t="s">
        <v>47</v>
      </c>
      <c r="AZ610" s="197">
        <v>0</v>
      </c>
      <c r="BA610" s="97" t="str">
        <f t="shared" si="94"/>
        <v>HF CHS 355,6 x 20</v>
      </c>
    </row>
    <row r="611" spans="1:53">
      <c r="A611" s="82" t="s">
        <v>723</v>
      </c>
      <c r="B611" s="83">
        <f t="shared" si="95"/>
        <v>4456.1353476575077</v>
      </c>
      <c r="C611" s="84">
        <v>355.6</v>
      </c>
      <c r="D611" s="84"/>
      <c r="E611" s="125" t="s">
        <v>833</v>
      </c>
      <c r="F611" s="84"/>
      <c r="G611" s="84"/>
      <c r="H611" s="85">
        <v>165.52800364352331</v>
      </c>
      <c r="I611" s="86">
        <v>168.6909591271575</v>
      </c>
      <c r="J611" s="86">
        <v>21086.36989089469</v>
      </c>
      <c r="K611" s="86">
        <v>1.1171503476165305</v>
      </c>
      <c r="L611" s="87">
        <v>297917090.09391445</v>
      </c>
      <c r="M611" s="88">
        <v>1675574.1850051431</v>
      </c>
      <c r="N611" s="88">
        <v>2255213.8666666672</v>
      </c>
      <c r="O611" s="89">
        <v>118.86303041736738</v>
      </c>
      <c r="P611" s="88">
        <v>297917090.09391445</v>
      </c>
      <c r="Q611" s="88">
        <v>1675574.1850051431</v>
      </c>
      <c r="R611" s="88">
        <v>2255213.8666666672</v>
      </c>
      <c r="S611" s="86">
        <v>118.86303041736738</v>
      </c>
      <c r="T611" s="87">
        <v>595834180.1878289</v>
      </c>
      <c r="U611" s="119"/>
      <c r="V611" s="90">
        <v>1</v>
      </c>
      <c r="W611" s="91">
        <v>1</v>
      </c>
      <c r="X611" s="91">
        <v>1</v>
      </c>
      <c r="Y611" s="91">
        <v>1</v>
      </c>
      <c r="Z611" s="91">
        <v>1</v>
      </c>
      <c r="AA611" s="92">
        <v>1</v>
      </c>
      <c r="AB611" s="91">
        <v>1</v>
      </c>
      <c r="AC611" s="91">
        <v>1</v>
      </c>
      <c r="AD611" s="91">
        <v>1</v>
      </c>
      <c r="AE611" s="91">
        <v>1</v>
      </c>
      <c r="AF611" s="90">
        <v>1</v>
      </c>
      <c r="AG611" s="91">
        <v>1</v>
      </c>
      <c r="AH611" s="91">
        <v>1</v>
      </c>
      <c r="AI611" s="91">
        <v>1</v>
      </c>
      <c r="AJ611" s="91">
        <v>1</v>
      </c>
      <c r="AK611" s="210">
        <f t="shared" si="90"/>
        <v>52.979737783075102</v>
      </c>
      <c r="AL611" s="146"/>
      <c r="AM611" s="94"/>
      <c r="AN611" s="95"/>
      <c r="AO611" s="91" t="str">
        <f>IF(head!$F$82="S460","a0","a")</f>
        <v>a</v>
      </c>
      <c r="AP611" s="91">
        <f t="shared" si="91"/>
        <v>0.21</v>
      </c>
      <c r="AQ611" s="96">
        <f>IF(head!F$82="S235",235,IF(head!F$82="S275",275,IF(head!F$82="S355",355,IF(head!F$82="S420",420,460))))^0.5*head!$G$70*1000/(S611*3.1416*210000^0.5)</f>
        <v>1.1010494960624864</v>
      </c>
      <c r="AR611" s="96">
        <f t="shared" si="92"/>
        <v>1.2007651934762886</v>
      </c>
      <c r="AS611" s="96">
        <f t="shared" si="93"/>
        <v>0.59528946907469815</v>
      </c>
      <c r="AT611" s="50">
        <f>IF(head!F$82="S235",235,IF(head!F$82="S275",275,IF(head!F$82="S355",355,IF(head!F$82="S420",420,460))))*AS611*J611/1000</f>
        <v>4456.1353476575077</v>
      </c>
      <c r="AU611" s="207" t="s">
        <v>47</v>
      </c>
      <c r="AV611" s="208" t="s">
        <v>47</v>
      </c>
      <c r="AW611" s="208" t="s">
        <v>47</v>
      </c>
      <c r="AX611" s="209" t="s">
        <v>47</v>
      </c>
      <c r="AY611" s="208" t="s">
        <v>47</v>
      </c>
      <c r="AZ611" s="197">
        <v>0</v>
      </c>
      <c r="BA611" s="97" t="str">
        <f t="shared" si="94"/>
        <v>HF CHS 406,4 x 6,3</v>
      </c>
    </row>
    <row r="612" spans="1:53">
      <c r="A612" s="82" t="s">
        <v>724</v>
      </c>
      <c r="B612" s="83">
        <f t="shared" si="95"/>
        <v>2016.2665575991336</v>
      </c>
      <c r="C612" s="84">
        <v>406.4</v>
      </c>
      <c r="D612" s="84"/>
      <c r="E612" s="125">
        <v>6.3</v>
      </c>
      <c r="F612" s="84"/>
      <c r="G612" s="84"/>
      <c r="H612" s="85">
        <v>62.162522619781733</v>
      </c>
      <c r="I612" s="86">
        <v>63.35034152334444</v>
      </c>
      <c r="J612" s="86">
        <v>7918.7926904180549</v>
      </c>
      <c r="K612" s="86">
        <v>1.2767432544188919</v>
      </c>
      <c r="L612" s="87">
        <v>158494338.74399146</v>
      </c>
      <c r="M612" s="88">
        <v>779991.82452751708</v>
      </c>
      <c r="N612" s="88">
        <v>1008587.4120000016</v>
      </c>
      <c r="O612" s="89">
        <v>141.47424677304346</v>
      </c>
      <c r="P612" s="88">
        <v>158494338.74399146</v>
      </c>
      <c r="Q612" s="88">
        <v>779991.82452751708</v>
      </c>
      <c r="R612" s="88">
        <v>1008587.4120000016</v>
      </c>
      <c r="S612" s="86">
        <v>141.47424677304346</v>
      </c>
      <c r="T612" s="87">
        <v>316988677.48798293</v>
      </c>
      <c r="U612" s="119"/>
      <c r="V612" s="90">
        <v>2</v>
      </c>
      <c r="W612" s="91">
        <v>3</v>
      </c>
      <c r="X612" s="91">
        <v>4</v>
      </c>
      <c r="Y612" s="91">
        <v>4</v>
      </c>
      <c r="Z612" s="91">
        <v>4</v>
      </c>
      <c r="AA612" s="92">
        <v>3</v>
      </c>
      <c r="AB612" s="91">
        <v>4</v>
      </c>
      <c r="AC612" s="91">
        <v>4</v>
      </c>
      <c r="AD612" s="91">
        <v>4</v>
      </c>
      <c r="AE612" s="91">
        <v>4</v>
      </c>
      <c r="AF612" s="90">
        <v>3</v>
      </c>
      <c r="AG612" s="91">
        <v>4</v>
      </c>
      <c r="AH612" s="91">
        <v>4</v>
      </c>
      <c r="AI612" s="91">
        <v>4</v>
      </c>
      <c r="AJ612" s="91">
        <v>4</v>
      </c>
      <c r="AK612" s="210">
        <f t="shared" ref="AK612:AK625" si="96">K612/J612*1000000</f>
        <v>161.22953388636938</v>
      </c>
      <c r="AL612" s="146"/>
      <c r="AM612" s="94"/>
      <c r="AN612" s="95"/>
      <c r="AO612" s="91" t="str">
        <f>IF(head!$F$82="S460","a0","a")</f>
        <v>a</v>
      </c>
      <c r="AP612" s="91">
        <f t="shared" si="91"/>
        <v>0.21</v>
      </c>
      <c r="AQ612" s="96">
        <f>IF(head!F$82="S235",235,IF(head!F$82="S275",275,IF(head!F$82="S355",355,IF(head!F$82="S420",420,460))))^0.5*head!$G$70*1000/(S612*3.1416*210000^0.5)</f>
        <v>0.92507352204853122</v>
      </c>
      <c r="AR612" s="96">
        <f t="shared" si="92"/>
        <v>1.0040132304127329</v>
      </c>
      <c r="AS612" s="96">
        <f t="shared" si="93"/>
        <v>0.71723358950734317</v>
      </c>
      <c r="AT612" s="50">
        <f>IF(head!F$82="S235",235,IF(head!F$82="S275",275,IF(head!F$82="S355",355,IF(head!F$82="S420",420,460))))*AS612*J612/1000</f>
        <v>2016.2665575991336</v>
      </c>
      <c r="AU612" s="207" t="s">
        <v>47</v>
      </c>
      <c r="AV612" s="208" t="s">
        <v>47</v>
      </c>
      <c r="AW612" s="208" t="s">
        <v>47</v>
      </c>
      <c r="AX612" s="209" t="s">
        <v>47</v>
      </c>
      <c r="AY612" s="208" t="s">
        <v>47</v>
      </c>
      <c r="AZ612" s="197">
        <v>0</v>
      </c>
      <c r="BA612" s="97" t="str">
        <f t="shared" si="94"/>
        <v>HF CHS 406,4 x 8</v>
      </c>
    </row>
    <row r="613" spans="1:53">
      <c r="A613" s="82" t="s">
        <v>725</v>
      </c>
      <c r="B613" s="83">
        <f t="shared" si="95"/>
        <v>2540.1643348996695</v>
      </c>
      <c r="C613" s="84">
        <v>406.4</v>
      </c>
      <c r="D613" s="84"/>
      <c r="E613" s="125" t="s">
        <v>826</v>
      </c>
      <c r="F613" s="84"/>
      <c r="G613" s="84"/>
      <c r="H613" s="85">
        <v>78.601140228342985</v>
      </c>
      <c r="I613" s="86">
        <v>80.103072844171194</v>
      </c>
      <c r="J613" s="86">
        <v>10012.884105521402</v>
      </c>
      <c r="K613" s="86">
        <v>1.2767432544188919</v>
      </c>
      <c r="L613" s="87">
        <v>198738927.8493025</v>
      </c>
      <c r="M613" s="88">
        <v>978045.90477018955</v>
      </c>
      <c r="N613" s="88">
        <v>1269951.1466666684</v>
      </c>
      <c r="O613" s="89">
        <v>140.8840658129939</v>
      </c>
      <c r="P613" s="88">
        <v>198738927.8493025</v>
      </c>
      <c r="Q613" s="88">
        <v>978045.90477018955</v>
      </c>
      <c r="R613" s="88">
        <v>1269951.1466666684</v>
      </c>
      <c r="S613" s="86">
        <v>140.8840658129939</v>
      </c>
      <c r="T613" s="87">
        <v>397477855.698605</v>
      </c>
      <c r="U613" s="119"/>
      <c r="V613" s="90">
        <v>2</v>
      </c>
      <c r="W613" s="91">
        <v>2</v>
      </c>
      <c r="X613" s="91">
        <v>3</v>
      </c>
      <c r="Y613" s="91">
        <v>4</v>
      </c>
      <c r="Z613" s="91">
        <v>4</v>
      </c>
      <c r="AA613" s="92">
        <v>3</v>
      </c>
      <c r="AB613" s="91">
        <v>3</v>
      </c>
      <c r="AC613" s="91">
        <v>4</v>
      </c>
      <c r="AD613" s="91">
        <v>4</v>
      </c>
      <c r="AE613" s="91">
        <v>4</v>
      </c>
      <c r="AF613" s="90">
        <v>3</v>
      </c>
      <c r="AG613" s="91">
        <v>3</v>
      </c>
      <c r="AH613" s="91">
        <v>4</v>
      </c>
      <c r="AI613" s="91">
        <v>4</v>
      </c>
      <c r="AJ613" s="91">
        <v>4</v>
      </c>
      <c r="AK613" s="210">
        <f t="shared" si="96"/>
        <v>127.51004016064239</v>
      </c>
      <c r="AL613" s="146"/>
      <c r="AM613" s="94"/>
      <c r="AN613" s="95"/>
      <c r="AO613" s="91" t="str">
        <f>IF(head!$F$82="S460","a0","a")</f>
        <v>a</v>
      </c>
      <c r="AP613" s="91">
        <f t="shared" si="91"/>
        <v>0.21</v>
      </c>
      <c r="AQ613" s="96">
        <f>IF(head!F$82="S235",235,IF(head!F$82="S275",275,IF(head!F$82="S355",355,IF(head!F$82="S420",420,460))))^0.5*head!$G$70*1000/(S613*3.1416*210000^0.5)</f>
        <v>0.92894877065247006</v>
      </c>
      <c r="AR613" s="96">
        <f t="shared" si="92"/>
        <v>1.008012530166877</v>
      </c>
      <c r="AS613" s="96">
        <f t="shared" si="93"/>
        <v>0.71461852721629215</v>
      </c>
      <c r="AT613" s="50">
        <f>IF(head!F$82="S235",235,IF(head!F$82="S275",275,IF(head!F$82="S355",355,IF(head!F$82="S420",420,460))))*AS613*J613/1000</f>
        <v>2540.1643348996695</v>
      </c>
      <c r="AU613" s="207" t="s">
        <v>47</v>
      </c>
      <c r="AV613" s="208" t="s">
        <v>47</v>
      </c>
      <c r="AW613" s="208" t="s">
        <v>47</v>
      </c>
      <c r="AX613" s="209" t="s">
        <v>47</v>
      </c>
      <c r="AY613" s="208" t="s">
        <v>47</v>
      </c>
      <c r="AZ613" s="197">
        <v>0</v>
      </c>
      <c r="BA613" s="97" t="str">
        <f t="shared" si="94"/>
        <v>HF CHS 406,4 x 8,8</v>
      </c>
    </row>
    <row r="614" spans="1:53">
      <c r="A614" s="82" t="s">
        <v>726</v>
      </c>
      <c r="B614" s="83">
        <f t="shared" si="95"/>
        <v>2783.7434508358356</v>
      </c>
      <c r="C614" s="84">
        <v>406.4</v>
      </c>
      <c r="D614" s="84"/>
      <c r="E614" s="125" t="s">
        <v>827</v>
      </c>
      <c r="F614" s="84"/>
      <c r="G614" s="84"/>
      <c r="H614" s="85">
        <v>86.287637274769324</v>
      </c>
      <c r="I614" s="86">
        <v>87.93644563033817</v>
      </c>
      <c r="J614" s="86">
        <v>10992.05570379227</v>
      </c>
      <c r="K614" s="86">
        <v>1.2767432544188919</v>
      </c>
      <c r="L614" s="87">
        <v>217317338.08625463</v>
      </c>
      <c r="M614" s="88">
        <v>1069475.0890071588</v>
      </c>
      <c r="N614" s="88">
        <v>1391381.8453333355</v>
      </c>
      <c r="O614" s="89">
        <v>140.60725443589314</v>
      </c>
      <c r="P614" s="88">
        <v>217317338.08625463</v>
      </c>
      <c r="Q614" s="88">
        <v>1069475.0890071588</v>
      </c>
      <c r="R614" s="88">
        <v>1391381.8453333355</v>
      </c>
      <c r="S614" s="86">
        <v>140.60725443589314</v>
      </c>
      <c r="T614" s="87">
        <v>434634676.17250925</v>
      </c>
      <c r="U614" s="119"/>
      <c r="V614" s="90">
        <v>1</v>
      </c>
      <c r="W614" s="91">
        <v>2</v>
      </c>
      <c r="X614" s="91">
        <v>2</v>
      </c>
      <c r="Y614" s="91">
        <v>3</v>
      </c>
      <c r="Z614" s="91">
        <v>4</v>
      </c>
      <c r="AA614" s="92">
        <v>2</v>
      </c>
      <c r="AB614" s="91">
        <v>3</v>
      </c>
      <c r="AC614" s="91">
        <v>4</v>
      </c>
      <c r="AD614" s="91">
        <v>4</v>
      </c>
      <c r="AE614" s="91">
        <v>4</v>
      </c>
      <c r="AF614" s="90">
        <v>2</v>
      </c>
      <c r="AG614" s="91">
        <v>3</v>
      </c>
      <c r="AH614" s="91">
        <v>4</v>
      </c>
      <c r="AI614" s="91">
        <v>4</v>
      </c>
      <c r="AJ614" s="91">
        <v>4</v>
      </c>
      <c r="AK614" s="210">
        <f t="shared" si="96"/>
        <v>116.15145417962303</v>
      </c>
      <c r="AL614" s="146"/>
      <c r="AM614" s="94"/>
      <c r="AN614" s="95"/>
      <c r="AO614" s="91" t="str">
        <f>IF(head!$F$82="S460","a0","a")</f>
        <v>a</v>
      </c>
      <c r="AP614" s="91">
        <f t="shared" si="91"/>
        <v>0.21</v>
      </c>
      <c r="AQ614" s="96">
        <f>IF(head!F$82="S235",235,IF(head!F$82="S275",275,IF(head!F$82="S355",355,IF(head!F$82="S420",420,460))))^0.5*head!$G$70*1000/(S614*3.1416*210000^0.5)</f>
        <v>0.9307775780599683</v>
      </c>
      <c r="AR614" s="96">
        <f t="shared" si="92"/>
        <v>1.0099050956058868</v>
      </c>
      <c r="AS614" s="96">
        <f t="shared" si="93"/>
        <v>0.71338165114279339</v>
      </c>
      <c r="AT614" s="50">
        <f>IF(head!F$82="S235",235,IF(head!F$82="S275",275,IF(head!F$82="S355",355,IF(head!F$82="S420",420,460))))*AS614*J614/1000</f>
        <v>2783.7434508358356</v>
      </c>
      <c r="AU614" s="207" t="s">
        <v>47</v>
      </c>
      <c r="AV614" s="208" t="s">
        <v>47</v>
      </c>
      <c r="AW614" s="208" t="s">
        <v>47</v>
      </c>
      <c r="AX614" s="209" t="s">
        <v>47</v>
      </c>
      <c r="AY614" s="208" t="s">
        <v>47</v>
      </c>
      <c r="AZ614" s="197">
        <v>0</v>
      </c>
      <c r="BA614" s="97" t="str">
        <f t="shared" si="94"/>
        <v>HF CHS 406,4 x 10</v>
      </c>
    </row>
    <row r="615" spans="1:53">
      <c r="A615" s="82" t="s">
        <v>727</v>
      </c>
      <c r="B615" s="83">
        <f t="shared" si="95"/>
        <v>3145.5626665631307</v>
      </c>
      <c r="C615" s="84">
        <v>406.4</v>
      </c>
      <c r="D615" s="84"/>
      <c r="E615" s="125">
        <v>10</v>
      </c>
      <c r="F615" s="84"/>
      <c r="G615" s="84"/>
      <c r="H615" s="85">
        <v>97.75819523881502</v>
      </c>
      <c r="I615" s="86">
        <v>99.626186230639505</v>
      </c>
      <c r="J615" s="86">
        <v>12453.27327882994</v>
      </c>
      <c r="K615" s="86">
        <v>1.2767432544188919</v>
      </c>
      <c r="L615" s="87">
        <v>244758127.41491711</v>
      </c>
      <c r="M615" s="88">
        <v>1204518.3435773482</v>
      </c>
      <c r="N615" s="88">
        <v>1571662.9333333336</v>
      </c>
      <c r="O615" s="89">
        <v>140.19315247186648</v>
      </c>
      <c r="P615" s="88">
        <v>244758127.41491711</v>
      </c>
      <c r="Q615" s="88">
        <v>1204518.3435773482</v>
      </c>
      <c r="R615" s="88">
        <v>1571662.9333333336</v>
      </c>
      <c r="S615" s="86">
        <v>140.19315247186648</v>
      </c>
      <c r="T615" s="87">
        <v>489516254.82983422</v>
      </c>
      <c r="U615" s="119"/>
      <c r="V615" s="90">
        <v>1</v>
      </c>
      <c r="W615" s="91">
        <v>1</v>
      </c>
      <c r="X615" s="91">
        <v>2</v>
      </c>
      <c r="Y615" s="91">
        <v>3</v>
      </c>
      <c r="Z615" s="91">
        <v>3</v>
      </c>
      <c r="AA615" s="92">
        <v>2</v>
      </c>
      <c r="AB615" s="91">
        <v>2</v>
      </c>
      <c r="AC615" s="91">
        <v>3</v>
      </c>
      <c r="AD615" s="91">
        <v>4</v>
      </c>
      <c r="AE615" s="91">
        <v>4</v>
      </c>
      <c r="AF615" s="90">
        <v>2</v>
      </c>
      <c r="AG615" s="91">
        <v>2</v>
      </c>
      <c r="AH615" s="91">
        <v>3</v>
      </c>
      <c r="AI615" s="91">
        <v>4</v>
      </c>
      <c r="AJ615" s="91">
        <v>4</v>
      </c>
      <c r="AK615" s="210">
        <f t="shared" si="96"/>
        <v>102.52270433905146</v>
      </c>
      <c r="AL615" s="146"/>
      <c r="AM615" s="94"/>
      <c r="AN615" s="95"/>
      <c r="AO615" s="91" t="str">
        <f>IF(head!$F$82="S460","a0","a")</f>
        <v>a</v>
      </c>
      <c r="AP615" s="91">
        <f t="shared" si="91"/>
        <v>0.21</v>
      </c>
      <c r="AQ615" s="96">
        <f>IF(head!F$82="S235",235,IF(head!F$82="S275",275,IF(head!F$82="S355",355,IF(head!F$82="S420",420,460))))^0.5*head!$G$70*1000/(S615*3.1416*210000^0.5)</f>
        <v>0.93352690508736325</v>
      </c>
      <c r="AR615" s="96">
        <f t="shared" si="92"/>
        <v>1.0127565662951685</v>
      </c>
      <c r="AS615" s="96">
        <f t="shared" si="93"/>
        <v>0.71151894826515494</v>
      </c>
      <c r="AT615" s="50">
        <f>IF(head!F$82="S235",235,IF(head!F$82="S275",275,IF(head!F$82="S355",355,IF(head!F$82="S420",420,460))))*AS615*J615/1000</f>
        <v>3145.5626665631307</v>
      </c>
      <c r="AU615" s="207" t="s">
        <v>47</v>
      </c>
      <c r="AV615" s="208" t="s">
        <v>47</v>
      </c>
      <c r="AW615" s="208" t="s">
        <v>47</v>
      </c>
      <c r="AX615" s="209" t="s">
        <v>47</v>
      </c>
      <c r="AY615" s="208" t="s">
        <v>47</v>
      </c>
      <c r="AZ615" s="197">
        <v>0</v>
      </c>
      <c r="BA615" s="97" t="str">
        <f t="shared" si="94"/>
        <v>HF CHS 406,4 x 12,5</v>
      </c>
    </row>
    <row r="616" spans="1:53">
      <c r="A616" s="82" t="s">
        <v>728</v>
      </c>
      <c r="B616" s="83">
        <f t="shared" si="95"/>
        <v>3885.692679555832</v>
      </c>
      <c r="C616" s="84">
        <v>406.4</v>
      </c>
      <c r="D616" s="84"/>
      <c r="E616" s="125" t="s">
        <v>829</v>
      </c>
      <c r="F616" s="84"/>
      <c r="G616" s="84"/>
      <c r="H616" s="85">
        <v>121.42707210068504</v>
      </c>
      <c r="I616" s="86">
        <v>123.74733462490195</v>
      </c>
      <c r="J616" s="86">
        <v>15468.416828112744</v>
      </c>
      <c r="K616" s="86">
        <v>1.2767432544188919</v>
      </c>
      <c r="L616" s="87">
        <v>300306667.28705204</v>
      </c>
      <c r="M616" s="88">
        <v>1477887.1421606892</v>
      </c>
      <c r="N616" s="88">
        <v>1940116.1666666667</v>
      </c>
      <c r="O616" s="89">
        <v>139.33478567823616</v>
      </c>
      <c r="P616" s="88">
        <v>300306667.28705204</v>
      </c>
      <c r="Q616" s="88">
        <v>1477887.1421606892</v>
      </c>
      <c r="R616" s="88">
        <v>1940116.1666666667</v>
      </c>
      <c r="S616" s="86">
        <v>139.33478567823616</v>
      </c>
      <c r="T616" s="87">
        <v>600613334.57410407</v>
      </c>
      <c r="U616" s="119"/>
      <c r="V616" s="90">
        <v>1</v>
      </c>
      <c r="W616" s="91">
        <v>1</v>
      </c>
      <c r="X616" s="91">
        <v>1</v>
      </c>
      <c r="Y616" s="91">
        <v>2</v>
      </c>
      <c r="Z616" s="91">
        <v>2</v>
      </c>
      <c r="AA616" s="92">
        <v>1</v>
      </c>
      <c r="AB616" s="91">
        <v>2</v>
      </c>
      <c r="AC616" s="91">
        <v>2</v>
      </c>
      <c r="AD616" s="91">
        <v>3</v>
      </c>
      <c r="AE616" s="91">
        <v>3</v>
      </c>
      <c r="AF616" s="90">
        <v>1</v>
      </c>
      <c r="AG616" s="91">
        <v>2</v>
      </c>
      <c r="AH616" s="91">
        <v>2</v>
      </c>
      <c r="AI616" s="91">
        <v>3</v>
      </c>
      <c r="AJ616" s="91">
        <v>3</v>
      </c>
      <c r="AK616" s="210">
        <f t="shared" si="96"/>
        <v>82.538715410002538</v>
      </c>
      <c r="AL616" s="146"/>
      <c r="AM616" s="94"/>
      <c r="AN616" s="95"/>
      <c r="AO616" s="91" t="str">
        <f>IF(head!$F$82="S460","a0","a")</f>
        <v>a</v>
      </c>
      <c r="AP616" s="91">
        <f t="shared" si="91"/>
        <v>0.21</v>
      </c>
      <c r="AQ616" s="96">
        <f>IF(head!F$82="S235",235,IF(head!F$82="S275",275,IF(head!F$82="S355",355,IF(head!F$82="S420",420,460))))^0.5*head!$G$70*1000/(S616*3.1416*210000^0.5)</f>
        <v>0.93927786305803074</v>
      </c>
      <c r="AR616" s="96">
        <f t="shared" si="92"/>
        <v>1.0187456276365237</v>
      </c>
      <c r="AS616" s="96">
        <f t="shared" si="93"/>
        <v>0.70761043637992371</v>
      </c>
      <c r="AT616" s="50">
        <f>IF(head!F$82="S235",235,IF(head!F$82="S275",275,IF(head!F$82="S355",355,IF(head!F$82="S420",420,460))))*AS616*J616/1000</f>
        <v>3885.692679555832</v>
      </c>
      <c r="AU616" s="207" t="s">
        <v>47</v>
      </c>
      <c r="AV616" s="208" t="s">
        <v>47</v>
      </c>
      <c r="AW616" s="208" t="s">
        <v>47</v>
      </c>
      <c r="AX616" s="209" t="s">
        <v>47</v>
      </c>
      <c r="AY616" s="208" t="s">
        <v>47</v>
      </c>
      <c r="AZ616" s="197">
        <v>0</v>
      </c>
      <c r="BA616" s="97" t="str">
        <f t="shared" si="94"/>
        <v>HF CHS 406,4 x 14,2</v>
      </c>
    </row>
    <row r="617" spans="1:53">
      <c r="A617" s="82" t="s">
        <v>729</v>
      </c>
      <c r="B617" s="83">
        <f t="shared" si="95"/>
        <v>4378.4581543314589</v>
      </c>
      <c r="C617" s="84">
        <v>406.4</v>
      </c>
      <c r="D617" s="84"/>
      <c r="E617" s="125" t="s">
        <v>830</v>
      </c>
      <c r="F617" s="84"/>
      <c r="G617" s="84"/>
      <c r="H617" s="85">
        <v>137.34582524011552</v>
      </c>
      <c r="I617" s="86">
        <v>139.97026776062728</v>
      </c>
      <c r="J617" s="86">
        <v>17496.283470078411</v>
      </c>
      <c r="K617" s="86">
        <v>1.2767432544188919</v>
      </c>
      <c r="L617" s="87">
        <v>336852621.3555603</v>
      </c>
      <c r="M617" s="88">
        <v>1657739.278324608</v>
      </c>
      <c r="N617" s="88">
        <v>2185210.3573333323</v>
      </c>
      <c r="O617" s="89">
        <v>138.75449542267089</v>
      </c>
      <c r="P617" s="88">
        <v>336852621.3555603</v>
      </c>
      <c r="Q617" s="88">
        <v>1657739.278324608</v>
      </c>
      <c r="R617" s="88">
        <v>2185210.3573333323</v>
      </c>
      <c r="S617" s="86">
        <v>138.75449542267089</v>
      </c>
      <c r="T617" s="87">
        <v>673705242.71112061</v>
      </c>
      <c r="U617" s="119"/>
      <c r="V617" s="90">
        <v>1</v>
      </c>
      <c r="W617" s="91">
        <v>1</v>
      </c>
      <c r="X617" s="91">
        <v>1</v>
      </c>
      <c r="Y617" s="91">
        <v>2</v>
      </c>
      <c r="Z617" s="91">
        <v>2</v>
      </c>
      <c r="AA617" s="92">
        <v>1</v>
      </c>
      <c r="AB617" s="91">
        <v>1</v>
      </c>
      <c r="AC617" s="91">
        <v>2</v>
      </c>
      <c r="AD617" s="91">
        <v>3</v>
      </c>
      <c r="AE617" s="91">
        <v>3</v>
      </c>
      <c r="AF617" s="90">
        <v>1</v>
      </c>
      <c r="AG617" s="91">
        <v>1</v>
      </c>
      <c r="AH617" s="91">
        <v>2</v>
      </c>
      <c r="AI617" s="91">
        <v>3</v>
      </c>
      <c r="AJ617" s="91">
        <v>3</v>
      </c>
      <c r="AK617" s="210">
        <f t="shared" si="96"/>
        <v>72.972254742119247</v>
      </c>
      <c r="AL617" s="146"/>
      <c r="AM617" s="94"/>
      <c r="AN617" s="95"/>
      <c r="AO617" s="91" t="str">
        <f>IF(head!$F$82="S460","a0","a")</f>
        <v>a</v>
      </c>
      <c r="AP617" s="91">
        <f t="shared" si="91"/>
        <v>0.21</v>
      </c>
      <c r="AQ617" s="96">
        <f>IF(head!F$82="S235",235,IF(head!F$82="S275",275,IF(head!F$82="S355",355,IF(head!F$82="S420",420,460))))^0.5*head!$G$70*1000/(S617*3.1416*210000^0.5)</f>
        <v>0.94320605139917535</v>
      </c>
      <c r="AR617" s="96">
        <f t="shared" si="92"/>
        <v>1.0228554630949254</v>
      </c>
      <c r="AS617" s="96">
        <f t="shared" si="93"/>
        <v>0.70493170523165294</v>
      </c>
      <c r="AT617" s="50">
        <f>IF(head!F$82="S235",235,IF(head!F$82="S275",275,IF(head!F$82="S355",355,IF(head!F$82="S420",420,460))))*AS617*J617/1000</f>
        <v>4378.4581543314589</v>
      </c>
      <c r="AU617" s="207" t="s">
        <v>47</v>
      </c>
      <c r="AV617" s="208" t="s">
        <v>47</v>
      </c>
      <c r="AW617" s="208" t="s">
        <v>47</v>
      </c>
      <c r="AX617" s="209" t="s">
        <v>47</v>
      </c>
      <c r="AY617" s="208" t="s">
        <v>47</v>
      </c>
      <c r="AZ617" s="197">
        <v>0</v>
      </c>
      <c r="BA617" s="97" t="str">
        <f t="shared" si="94"/>
        <v>HF CHS 406,4 x 16</v>
      </c>
    </row>
    <row r="618" spans="1:53">
      <c r="A618" s="82" t="s">
        <v>730</v>
      </c>
      <c r="B618" s="83">
        <f t="shared" si="95"/>
        <v>4890.9484291148774</v>
      </c>
      <c r="C618" s="84">
        <v>406.4</v>
      </c>
      <c r="D618" s="84"/>
      <c r="E618" s="125" t="s">
        <v>831</v>
      </c>
      <c r="F618" s="84"/>
      <c r="G618" s="84"/>
      <c r="H618" s="85">
        <v>154.04560815835882</v>
      </c>
      <c r="I618" s="86">
        <v>156.9891548110663</v>
      </c>
      <c r="J618" s="86">
        <v>19623.644351383289</v>
      </c>
      <c r="K618" s="86">
        <v>1.2767432544188919</v>
      </c>
      <c r="L618" s="87">
        <v>374488209.45250988</v>
      </c>
      <c r="M618" s="88">
        <v>1842953.7866757377</v>
      </c>
      <c r="N618" s="88">
        <v>2439959.8933333331</v>
      </c>
      <c r="O618" s="89">
        <v>138.14311419683571</v>
      </c>
      <c r="P618" s="88">
        <v>374488209.45250988</v>
      </c>
      <c r="Q618" s="88">
        <v>1842953.7866757377</v>
      </c>
      <c r="R618" s="88">
        <v>2439959.8933333331</v>
      </c>
      <c r="S618" s="86">
        <v>138.14311419683571</v>
      </c>
      <c r="T618" s="87">
        <v>748976418.90501976</v>
      </c>
      <c r="U618" s="119"/>
      <c r="V618" s="90">
        <v>1</v>
      </c>
      <c r="W618" s="91">
        <v>1</v>
      </c>
      <c r="X618" s="91">
        <v>1</v>
      </c>
      <c r="Y618" s="91">
        <v>1</v>
      </c>
      <c r="Z618" s="91">
        <v>1</v>
      </c>
      <c r="AA618" s="92">
        <v>1</v>
      </c>
      <c r="AB618" s="91">
        <v>1</v>
      </c>
      <c r="AC618" s="91">
        <v>2</v>
      </c>
      <c r="AD618" s="91">
        <v>2</v>
      </c>
      <c r="AE618" s="91">
        <v>2</v>
      </c>
      <c r="AF618" s="90">
        <v>1</v>
      </c>
      <c r="AG618" s="91">
        <v>1</v>
      </c>
      <c r="AH618" s="91">
        <v>2</v>
      </c>
      <c r="AI618" s="91">
        <v>2</v>
      </c>
      <c r="AJ618" s="91">
        <v>2</v>
      </c>
      <c r="AK618" s="210">
        <f t="shared" si="96"/>
        <v>65.061475409836049</v>
      </c>
      <c r="AL618" s="146"/>
      <c r="AM618" s="94"/>
      <c r="AN618" s="95"/>
      <c r="AO618" s="91" t="str">
        <f>IF(head!$F$82="S460","a0","a")</f>
        <v>a</v>
      </c>
      <c r="AP618" s="91">
        <f t="shared" si="91"/>
        <v>0.21</v>
      </c>
      <c r="AQ618" s="96">
        <f>IF(head!F$82="S235",235,IF(head!F$82="S275",275,IF(head!F$82="S355",355,IF(head!F$82="S420",420,460))))^0.5*head!$G$70*1000/(S618*3.1416*210000^0.5)</f>
        <v>0.94738040692367809</v>
      </c>
      <c r="AR618" s="96">
        <f t="shared" si="92"/>
        <v>1.0272397604384231</v>
      </c>
      <c r="AS618" s="96">
        <f t="shared" si="93"/>
        <v>0.70207751791334727</v>
      </c>
      <c r="AT618" s="50">
        <f>IF(head!F$82="S235",235,IF(head!F$82="S275",275,IF(head!F$82="S355",355,IF(head!F$82="S420",420,460))))*AS618*J618/1000</f>
        <v>4890.9484291148774</v>
      </c>
      <c r="AU618" s="207" t="s">
        <v>47</v>
      </c>
      <c r="AV618" s="208" t="s">
        <v>47</v>
      </c>
      <c r="AW618" s="208" t="s">
        <v>47</v>
      </c>
      <c r="AX618" s="209" t="s">
        <v>47</v>
      </c>
      <c r="AY618" s="208" t="s">
        <v>47</v>
      </c>
      <c r="AZ618" s="197">
        <v>0</v>
      </c>
      <c r="BA618" s="97" t="str">
        <f t="shared" si="94"/>
        <v>HF CHS 406,4 x 20</v>
      </c>
    </row>
    <row r="619" spans="1:53">
      <c r="A619" s="82" t="s">
        <v>731</v>
      </c>
      <c r="B619" s="83">
        <f t="shared" si="95"/>
        <v>5995.8371589696471</v>
      </c>
      <c r="C619" s="84">
        <v>406.4</v>
      </c>
      <c r="D619" s="84"/>
      <c r="E619" s="125" t="s">
        <v>833</v>
      </c>
      <c r="F619" s="84"/>
      <c r="G619" s="84"/>
      <c r="H619" s="85">
        <v>190.58409001149406</v>
      </c>
      <c r="I619" s="86">
        <v>194.22582421553534</v>
      </c>
      <c r="J619" s="86">
        <v>24278.228026941921</v>
      </c>
      <c r="K619" s="86">
        <v>1.2767432544188919</v>
      </c>
      <c r="L619" s="87">
        <v>454321394.45552742</v>
      </c>
      <c r="M619" s="88">
        <v>2235833.6341315326</v>
      </c>
      <c r="N619" s="88">
        <v>2988765.8666666672</v>
      </c>
      <c r="O619" s="89">
        <v>136.79590637149931</v>
      </c>
      <c r="P619" s="88">
        <v>454321394.45552742</v>
      </c>
      <c r="Q619" s="88">
        <v>2235833.6341315326</v>
      </c>
      <c r="R619" s="88">
        <v>2988765.8666666672</v>
      </c>
      <c r="S619" s="86">
        <v>136.79590637149931</v>
      </c>
      <c r="T619" s="87">
        <v>908642788.91105485</v>
      </c>
      <c r="U619" s="119"/>
      <c r="V619" s="90">
        <v>1</v>
      </c>
      <c r="W619" s="91">
        <v>1</v>
      </c>
      <c r="X619" s="91">
        <v>1</v>
      </c>
      <c r="Y619" s="91">
        <v>1</v>
      </c>
      <c r="Z619" s="91">
        <v>1</v>
      </c>
      <c r="AA619" s="92">
        <v>1</v>
      </c>
      <c r="AB619" s="91">
        <v>1</v>
      </c>
      <c r="AC619" s="91">
        <v>1</v>
      </c>
      <c r="AD619" s="91">
        <v>2</v>
      </c>
      <c r="AE619" s="91">
        <v>2</v>
      </c>
      <c r="AF619" s="90">
        <v>1</v>
      </c>
      <c r="AG619" s="91">
        <v>1</v>
      </c>
      <c r="AH619" s="91">
        <v>1</v>
      </c>
      <c r="AI619" s="91">
        <v>2</v>
      </c>
      <c r="AJ619" s="91">
        <v>2</v>
      </c>
      <c r="AK619" s="210">
        <f t="shared" si="96"/>
        <v>52.587991718426501</v>
      </c>
      <c r="AL619" s="146"/>
      <c r="AM619" s="94"/>
      <c r="AN619" s="95"/>
      <c r="AO619" s="91" t="str">
        <f>IF(head!$F$82="S460","a0","a")</f>
        <v>a</v>
      </c>
      <c r="AP619" s="91">
        <f t="shared" si="91"/>
        <v>0.21</v>
      </c>
      <c r="AQ619" s="96">
        <f>IF(head!F$82="S235",235,IF(head!F$82="S275",275,IF(head!F$82="S355",355,IF(head!F$82="S420",420,460))))^0.5*head!$G$70*1000/(S619*3.1416*210000^0.5)</f>
        <v>0.95671049823731613</v>
      </c>
      <c r="AR619" s="96">
        <f t="shared" si="92"/>
        <v>1.037102091033665</v>
      </c>
      <c r="AS619" s="96">
        <f t="shared" si="93"/>
        <v>0.69567194604152871</v>
      </c>
      <c r="AT619" s="50">
        <f>IF(head!F$82="S235",235,IF(head!F$82="S275",275,IF(head!F$82="S355",355,IF(head!F$82="S420",420,460))))*AS619*J619/1000</f>
        <v>5995.8371589696471</v>
      </c>
      <c r="AU619" s="207" t="s">
        <v>47</v>
      </c>
      <c r="AV619" s="208" t="s">
        <v>47</v>
      </c>
      <c r="AW619" s="208" t="s">
        <v>47</v>
      </c>
      <c r="AX619" s="209" t="s">
        <v>47</v>
      </c>
      <c r="AY619" s="208" t="s">
        <v>47</v>
      </c>
      <c r="AZ619" s="197">
        <v>0</v>
      </c>
      <c r="BA619" s="97" t="str">
        <f t="shared" si="94"/>
        <v>HF CHS 508 x 5,6</v>
      </c>
    </row>
    <row r="620" spans="1:53">
      <c r="A620" s="82" t="s">
        <v>732</v>
      </c>
      <c r="B620" s="83">
        <f t="shared" si="95"/>
        <v>2603.7110662160962</v>
      </c>
      <c r="C620" s="84">
        <v>508</v>
      </c>
      <c r="D620" s="84"/>
      <c r="E620" s="125">
        <v>5.6</v>
      </c>
      <c r="F620" s="84"/>
      <c r="G620" s="84"/>
      <c r="H620" s="85">
        <v>69.38365711722787</v>
      </c>
      <c r="I620" s="86">
        <v>70.709459482525219</v>
      </c>
      <c r="J620" s="86">
        <v>8838.6824353156517</v>
      </c>
      <c r="K620" s="86">
        <v>1.5959290680236149</v>
      </c>
      <c r="L620" s="87">
        <v>278901442.32070857</v>
      </c>
      <c r="M620" s="88">
        <v>1098037.1744909785</v>
      </c>
      <c r="N620" s="88">
        <v>1413530.7946666654</v>
      </c>
      <c r="O620" s="89">
        <v>177.63625756021767</v>
      </c>
      <c r="P620" s="88">
        <v>278901442.32070857</v>
      </c>
      <c r="Q620" s="88">
        <v>1098037.1744909785</v>
      </c>
      <c r="R620" s="88">
        <v>1413530.7946666654</v>
      </c>
      <c r="S620" s="86">
        <v>177.63625756021767</v>
      </c>
      <c r="T620" s="87">
        <v>557802884.64141715</v>
      </c>
      <c r="U620" s="119"/>
      <c r="V620" s="90">
        <v>4</v>
      </c>
      <c r="W620" s="91">
        <v>4</v>
      </c>
      <c r="X620" s="91">
        <v>4</v>
      </c>
      <c r="Y620" s="91">
        <v>4</v>
      </c>
      <c r="Z620" s="91">
        <v>4</v>
      </c>
      <c r="AA620" s="92">
        <v>4</v>
      </c>
      <c r="AB620" s="91">
        <v>4</v>
      </c>
      <c r="AC620" s="91">
        <v>4</v>
      </c>
      <c r="AD620" s="91">
        <v>4</v>
      </c>
      <c r="AE620" s="91">
        <v>4</v>
      </c>
      <c r="AF620" s="90">
        <v>4</v>
      </c>
      <c r="AG620" s="91">
        <v>4</v>
      </c>
      <c r="AH620" s="91">
        <v>4</v>
      </c>
      <c r="AI620" s="91">
        <v>4</v>
      </c>
      <c r="AJ620" s="91">
        <v>4</v>
      </c>
      <c r="AK620" s="210">
        <f t="shared" si="96"/>
        <v>180.5618744313015</v>
      </c>
      <c r="AL620" s="146"/>
      <c r="AM620" s="94"/>
      <c r="AN620" s="95"/>
      <c r="AO620" s="91" t="str">
        <f>IF(head!$F$82="S460","a0","a")</f>
        <v>a</v>
      </c>
      <c r="AP620" s="91">
        <f t="shared" si="91"/>
        <v>0.21</v>
      </c>
      <c r="AQ620" s="96">
        <f>IF(head!F$82="S235",235,IF(head!F$82="S275",275,IF(head!F$82="S355",355,IF(head!F$82="S420",420,460))))^0.5*head!$G$70*1000/(S620*3.1416*210000^0.5)</f>
        <v>0.73675319182592436</v>
      </c>
      <c r="AR620" s="96">
        <f t="shared" si="92"/>
        <v>0.82776171797456577</v>
      </c>
      <c r="AS620" s="96">
        <f t="shared" si="93"/>
        <v>0.82980663954139178</v>
      </c>
      <c r="AT620" s="50">
        <f>IF(head!F$82="S235",235,IF(head!F$82="S275",275,IF(head!F$82="S355",355,IF(head!F$82="S420",420,460))))*AS620*J620/1000</f>
        <v>2603.7110662160962</v>
      </c>
      <c r="AU620" s="207" t="s">
        <v>47</v>
      </c>
      <c r="AV620" s="208" t="s">
        <v>47</v>
      </c>
      <c r="AW620" s="208" t="s">
        <v>47</v>
      </c>
      <c r="AX620" s="209" t="s">
        <v>47</v>
      </c>
      <c r="AY620" s="208" t="s">
        <v>47</v>
      </c>
      <c r="AZ620" s="197">
        <v>0</v>
      </c>
      <c r="BA620" s="97" t="str">
        <f t="shared" si="94"/>
        <v>HF CHS 508 x 10</v>
      </c>
    </row>
    <row r="621" spans="1:53">
      <c r="A621" s="82" t="s">
        <v>733</v>
      </c>
      <c r="B621" s="83">
        <f t="shared" si="95"/>
        <v>4590.6210309804765</v>
      </c>
      <c r="C621" s="84">
        <v>508</v>
      </c>
      <c r="D621" s="84"/>
      <c r="E621" s="125">
        <v>10</v>
      </c>
      <c r="F621" s="84"/>
      <c r="G621" s="84"/>
      <c r="H621" s="85">
        <v>122.81428160678577</v>
      </c>
      <c r="I621" s="86">
        <v>125.16105131901735</v>
      </c>
      <c r="J621" s="86">
        <v>15645.131414877169</v>
      </c>
      <c r="K621" s="86">
        <v>1.5959290680236149</v>
      </c>
      <c r="L621" s="87">
        <v>485202460.56958568</v>
      </c>
      <c r="M621" s="88">
        <v>1910245.9077542743</v>
      </c>
      <c r="N621" s="88">
        <v>2480373.3333333335</v>
      </c>
      <c r="O621" s="89">
        <v>176.10508226624239</v>
      </c>
      <c r="P621" s="88">
        <v>485202460.56958568</v>
      </c>
      <c r="Q621" s="88">
        <v>1910245.9077542743</v>
      </c>
      <c r="R621" s="88">
        <v>2480373.3333333335</v>
      </c>
      <c r="S621" s="86">
        <v>176.10508226624239</v>
      </c>
      <c r="T621" s="87">
        <v>970404921.13917136</v>
      </c>
      <c r="U621" s="119"/>
      <c r="V621" s="90">
        <v>2</v>
      </c>
      <c r="W621" s="91">
        <v>2</v>
      </c>
      <c r="X621" s="91">
        <v>3</v>
      </c>
      <c r="Y621" s="91">
        <v>4</v>
      </c>
      <c r="Z621" s="91">
        <v>4</v>
      </c>
      <c r="AA621" s="92">
        <v>3</v>
      </c>
      <c r="AB621" s="91">
        <v>3</v>
      </c>
      <c r="AC621" s="91">
        <v>4</v>
      </c>
      <c r="AD621" s="91">
        <v>4</v>
      </c>
      <c r="AE621" s="91">
        <v>4</v>
      </c>
      <c r="AF621" s="90">
        <v>3</v>
      </c>
      <c r="AG621" s="91">
        <v>3</v>
      </c>
      <c r="AH621" s="91">
        <v>4</v>
      </c>
      <c r="AI621" s="91">
        <v>4</v>
      </c>
      <c r="AJ621" s="91">
        <v>4</v>
      </c>
      <c r="AK621" s="210">
        <f t="shared" si="96"/>
        <v>102.00803212851406</v>
      </c>
      <c r="AL621" s="146"/>
      <c r="AM621" s="94"/>
      <c r="AN621" s="95"/>
      <c r="AO621" s="91" t="str">
        <f>IF(head!$F$82="S460","a0","a")</f>
        <v>a</v>
      </c>
      <c r="AP621" s="91">
        <f t="shared" si="91"/>
        <v>0.21</v>
      </c>
      <c r="AQ621" s="96">
        <f>IF(head!F$82="S235",235,IF(head!F$82="S275",275,IF(head!F$82="S355",355,IF(head!F$82="S420",420,460))))^0.5*head!$G$70*1000/(S621*3.1416*210000^0.5)</f>
        <v>0.7431590165219758</v>
      </c>
      <c r="AR621" s="96">
        <f t="shared" si="92"/>
        <v>0.83317435865376255</v>
      </c>
      <c r="AS621" s="96">
        <f t="shared" si="93"/>
        <v>0.82653999540941858</v>
      </c>
      <c r="AT621" s="50">
        <f>IF(head!F$82="S235",235,IF(head!F$82="S275",275,IF(head!F$82="S355",355,IF(head!F$82="S420",420,460))))*AS621*J621/1000</f>
        <v>4590.6210309804765</v>
      </c>
      <c r="AU621" s="207" t="s">
        <v>47</v>
      </c>
      <c r="AV621" s="208" t="s">
        <v>47</v>
      </c>
      <c r="AW621" s="208" t="s">
        <v>47</v>
      </c>
      <c r="AX621" s="209" t="s">
        <v>47</v>
      </c>
      <c r="AY621" s="208" t="s">
        <v>47</v>
      </c>
      <c r="AZ621" s="197">
        <v>0</v>
      </c>
      <c r="BA621" s="97" t="str">
        <f t="shared" si="94"/>
        <v>HF CHS 508 x 12,5</v>
      </c>
    </row>
    <row r="622" spans="1:53">
      <c r="A622" s="82" t="s">
        <v>734</v>
      </c>
      <c r="B622" s="83">
        <f t="shared" si="95"/>
        <v>5696.4370297177366</v>
      </c>
      <c r="C622" s="84">
        <v>508</v>
      </c>
      <c r="D622" s="84"/>
      <c r="E622" s="125" t="s">
        <v>829</v>
      </c>
      <c r="F622" s="84"/>
      <c r="G622" s="84"/>
      <c r="H622" s="85">
        <v>152.74718006064847</v>
      </c>
      <c r="I622" s="86">
        <v>155.66591598537426</v>
      </c>
      <c r="J622" s="86">
        <v>19458.239498171781</v>
      </c>
      <c r="K622" s="86">
        <v>1.5959290680236149</v>
      </c>
      <c r="L622" s="87">
        <v>597554022.00907493</v>
      </c>
      <c r="M622" s="88">
        <v>2352574.8897995078</v>
      </c>
      <c r="N622" s="88">
        <v>3069654.1666666665</v>
      </c>
      <c r="O622" s="89">
        <v>175.24144058983308</v>
      </c>
      <c r="P622" s="88">
        <v>597554022.00907493</v>
      </c>
      <c r="Q622" s="88">
        <v>2352574.8897995078</v>
      </c>
      <c r="R622" s="88">
        <v>3069654.1666666665</v>
      </c>
      <c r="S622" s="86">
        <v>175.24144058983308</v>
      </c>
      <c r="T622" s="87">
        <v>1195108044.0181499</v>
      </c>
      <c r="U622" s="119"/>
      <c r="V622" s="90">
        <v>1</v>
      </c>
      <c r="W622" s="91">
        <v>1</v>
      </c>
      <c r="X622" s="91">
        <v>2</v>
      </c>
      <c r="Y622" s="91">
        <v>3</v>
      </c>
      <c r="Z622" s="91">
        <v>3</v>
      </c>
      <c r="AA622" s="92">
        <v>2</v>
      </c>
      <c r="AB622" s="91">
        <v>2</v>
      </c>
      <c r="AC622" s="91">
        <v>3</v>
      </c>
      <c r="AD622" s="91">
        <v>4</v>
      </c>
      <c r="AE622" s="91">
        <v>4</v>
      </c>
      <c r="AF622" s="90">
        <v>2</v>
      </c>
      <c r="AG622" s="91">
        <v>2</v>
      </c>
      <c r="AH622" s="91">
        <v>3</v>
      </c>
      <c r="AI622" s="91">
        <v>4</v>
      </c>
      <c r="AJ622" s="91">
        <v>4</v>
      </c>
      <c r="AK622" s="210">
        <f t="shared" si="96"/>
        <v>82.018163471241166</v>
      </c>
      <c r="AL622" s="146"/>
      <c r="AM622" s="94"/>
      <c r="AN622" s="95"/>
      <c r="AO622" s="91" t="str">
        <f>IF(head!$F$82="S460","a0","a")</f>
        <v>a</v>
      </c>
      <c r="AP622" s="91">
        <f t="shared" si="91"/>
        <v>0.21</v>
      </c>
      <c r="AQ622" s="96">
        <f>IF(head!F$82="S235",235,IF(head!F$82="S275",275,IF(head!F$82="S355",355,IF(head!F$82="S420",420,460))))^0.5*head!$G$70*1000/(S622*3.1416*210000^0.5)</f>
        <v>0.74682152406989066</v>
      </c>
      <c r="AR622" s="96">
        <f t="shared" si="92"/>
        <v>0.83628745443437558</v>
      </c>
      <c r="AS622" s="96">
        <f t="shared" si="93"/>
        <v>0.82465330399855996</v>
      </c>
      <c r="AT622" s="50">
        <f>IF(head!F$82="S235",235,IF(head!F$82="S275",275,IF(head!F$82="S355",355,IF(head!F$82="S420",420,460))))*AS622*J622/1000</f>
        <v>5696.4370297177366</v>
      </c>
      <c r="AU622" s="207" t="s">
        <v>47</v>
      </c>
      <c r="AV622" s="208" t="s">
        <v>47</v>
      </c>
      <c r="AW622" s="208" t="s">
        <v>47</v>
      </c>
      <c r="AX622" s="209" t="s">
        <v>47</v>
      </c>
      <c r="AY622" s="208" t="s">
        <v>47</v>
      </c>
      <c r="AZ622" s="197">
        <v>0</v>
      </c>
      <c r="BA622" s="97" t="str">
        <f t="shared" si="94"/>
        <v>HF CHS 508 x 14,2</v>
      </c>
    </row>
    <row r="623" spans="1:53">
      <c r="A623" s="82" t="s">
        <v>735</v>
      </c>
      <c r="B623" s="83">
        <f t="shared" si="95"/>
        <v>6438.8184743799429</v>
      </c>
      <c r="C623" s="84">
        <v>508</v>
      </c>
      <c r="D623" s="84"/>
      <c r="E623" s="125" t="s">
        <v>830</v>
      </c>
      <c r="F623" s="84"/>
      <c r="G623" s="84"/>
      <c r="H623" s="85">
        <v>172.92546788263385</v>
      </c>
      <c r="I623" s="86">
        <v>176.22977618612367</v>
      </c>
      <c r="J623" s="86">
        <v>22028.722023265462</v>
      </c>
      <c r="K623" s="86">
        <v>1.5959290680236149</v>
      </c>
      <c r="L623" s="87">
        <v>671986385.60693324</v>
      </c>
      <c r="M623" s="88">
        <v>2645615.6913658786</v>
      </c>
      <c r="N623" s="88">
        <v>3463460.277333329</v>
      </c>
      <c r="O623" s="89">
        <v>174.65683496502507</v>
      </c>
      <c r="P623" s="88">
        <v>671986385.60693324</v>
      </c>
      <c r="Q623" s="88">
        <v>2645615.6913658786</v>
      </c>
      <c r="R623" s="88">
        <v>3463460.277333329</v>
      </c>
      <c r="S623" s="86">
        <v>174.65683496502507</v>
      </c>
      <c r="T623" s="87">
        <v>1343972771.2138665</v>
      </c>
      <c r="U623" s="119"/>
      <c r="V623" s="90">
        <v>1</v>
      </c>
      <c r="W623" s="91">
        <v>1</v>
      </c>
      <c r="X623" s="91">
        <v>2</v>
      </c>
      <c r="Y623" s="91">
        <v>2</v>
      </c>
      <c r="Z623" s="91">
        <v>3</v>
      </c>
      <c r="AA623" s="92">
        <v>1</v>
      </c>
      <c r="AB623" s="91">
        <v>2</v>
      </c>
      <c r="AC623" s="91">
        <v>3</v>
      </c>
      <c r="AD623" s="91">
        <v>3</v>
      </c>
      <c r="AE623" s="91">
        <v>4</v>
      </c>
      <c r="AF623" s="90">
        <v>1</v>
      </c>
      <c r="AG623" s="91">
        <v>2</v>
      </c>
      <c r="AH623" s="91">
        <v>3</v>
      </c>
      <c r="AI623" s="91">
        <v>3</v>
      </c>
      <c r="AJ623" s="91">
        <v>4</v>
      </c>
      <c r="AK623" s="210">
        <f t="shared" si="96"/>
        <v>72.447646592393653</v>
      </c>
      <c r="AL623" s="146"/>
      <c r="AM623" s="94"/>
      <c r="AN623" s="95"/>
      <c r="AO623" s="91" t="str">
        <f>IF(head!$F$82="S460","a0","a")</f>
        <v>a</v>
      </c>
      <c r="AP623" s="91">
        <f t="shared" si="91"/>
        <v>0.21</v>
      </c>
      <c r="AQ623" s="96">
        <f>IF(head!F$82="S235",235,IF(head!F$82="S275",275,IF(head!F$82="S355",355,IF(head!F$82="S420",420,460))))^0.5*head!$G$70*1000/(S623*3.1416*210000^0.5)</f>
        <v>0.74932126056051473</v>
      </c>
      <c r="AR623" s="96">
        <f t="shared" si="92"/>
        <v>0.83841990812285339</v>
      </c>
      <c r="AS623" s="96">
        <f t="shared" si="93"/>
        <v>0.82335765143722273</v>
      </c>
      <c r="AT623" s="50">
        <f>IF(head!F$82="S235",235,IF(head!F$82="S275",275,IF(head!F$82="S355",355,IF(head!F$82="S420",420,460))))*AS623*J623/1000</f>
        <v>6438.8184743799429</v>
      </c>
      <c r="AU623" s="207" t="s">
        <v>47</v>
      </c>
      <c r="AV623" s="208" t="s">
        <v>47</v>
      </c>
      <c r="AW623" s="208" t="s">
        <v>47</v>
      </c>
      <c r="AX623" s="209" t="s">
        <v>47</v>
      </c>
      <c r="AY623" s="208" t="s">
        <v>47</v>
      </c>
      <c r="AZ623" s="197">
        <v>0</v>
      </c>
      <c r="BA623" s="97" t="str">
        <f t="shared" si="94"/>
        <v>HF CHS 508 x 16</v>
      </c>
    </row>
    <row r="624" spans="1:53">
      <c r="A624" s="82" t="s">
        <v>736</v>
      </c>
      <c r="B624" s="83">
        <f t="shared" si="95"/>
        <v>7216.4182170149115</v>
      </c>
      <c r="C624" s="84">
        <v>508</v>
      </c>
      <c r="D624" s="84"/>
      <c r="E624" s="125" t="s">
        <v>831</v>
      </c>
      <c r="F624" s="84"/>
      <c r="G624" s="84"/>
      <c r="H624" s="85">
        <v>194.13534634711195</v>
      </c>
      <c r="I624" s="86">
        <v>197.84493895247078</v>
      </c>
      <c r="J624" s="86">
        <v>24730.617369058851</v>
      </c>
      <c r="K624" s="86">
        <v>1.5959290680236149</v>
      </c>
      <c r="L624" s="87">
        <v>749090400.10879266</v>
      </c>
      <c r="M624" s="88">
        <v>2949174.8035779237</v>
      </c>
      <c r="N624" s="88">
        <v>3874389.3333333335</v>
      </c>
      <c r="O624" s="89">
        <v>174.0402252354323</v>
      </c>
      <c r="P624" s="88">
        <v>749090400.10879266</v>
      </c>
      <c r="Q624" s="88">
        <v>2949174.8035779237</v>
      </c>
      <c r="R624" s="88">
        <v>3874389.3333333335</v>
      </c>
      <c r="S624" s="86">
        <v>174.0402252354323</v>
      </c>
      <c r="T624" s="87">
        <v>1498180800.2175853</v>
      </c>
      <c r="U624" s="119"/>
      <c r="V624" s="90">
        <v>1</v>
      </c>
      <c r="W624" s="91">
        <v>1</v>
      </c>
      <c r="X624" s="91">
        <v>1</v>
      </c>
      <c r="Y624" s="91">
        <v>2</v>
      </c>
      <c r="Z624" s="91">
        <v>2</v>
      </c>
      <c r="AA624" s="92">
        <v>1</v>
      </c>
      <c r="AB624" s="91">
        <v>2</v>
      </c>
      <c r="AC624" s="91">
        <v>2</v>
      </c>
      <c r="AD624" s="91">
        <v>3</v>
      </c>
      <c r="AE624" s="91">
        <v>3</v>
      </c>
      <c r="AF624" s="90">
        <v>1</v>
      </c>
      <c r="AG624" s="91">
        <v>2</v>
      </c>
      <c r="AH624" s="91">
        <v>2</v>
      </c>
      <c r="AI624" s="91">
        <v>3</v>
      </c>
      <c r="AJ624" s="91">
        <v>3</v>
      </c>
      <c r="AK624" s="210">
        <f t="shared" si="96"/>
        <v>64.532520325203251</v>
      </c>
      <c r="AL624" s="146"/>
      <c r="AM624" s="94"/>
      <c r="AN624" s="95"/>
      <c r="AO624" s="91" t="str">
        <f>IF(head!$F$82="S460","a0","a")</f>
        <v>a</v>
      </c>
      <c r="AP624" s="91">
        <f t="shared" si="91"/>
        <v>0.21</v>
      </c>
      <c r="AQ624" s="96">
        <f>IF(head!F$82="S235",235,IF(head!F$82="S275",275,IF(head!F$82="S355",355,IF(head!F$82="S420",420,460))))^0.5*head!$G$70*1000/(S624*3.1416*210000^0.5)</f>
        <v>0.75197604211591262</v>
      </c>
      <c r="AR624" s="96">
        <f t="shared" si="92"/>
        <v>0.84069146838032727</v>
      </c>
      <c r="AS624" s="96">
        <f t="shared" si="93"/>
        <v>0.82197457249536598</v>
      </c>
      <c r="AT624" s="50">
        <f>IF(head!F$82="S235",235,IF(head!F$82="S275",275,IF(head!F$82="S355",355,IF(head!F$82="S420",420,460))))*AS624*J624/1000</f>
        <v>7216.4182170149115</v>
      </c>
      <c r="AU624" s="207" t="s">
        <v>47</v>
      </c>
      <c r="AV624" s="208" t="s">
        <v>47</v>
      </c>
      <c r="AW624" s="208" t="s">
        <v>47</v>
      </c>
      <c r="AX624" s="209" t="s">
        <v>47</v>
      </c>
      <c r="AY624" s="208" t="s">
        <v>47</v>
      </c>
      <c r="AZ624" s="197">
        <v>0</v>
      </c>
      <c r="BA624" s="97" t="str">
        <f t="shared" si="94"/>
        <v>HF CHS 508 x 20</v>
      </c>
    </row>
    <row r="625" spans="1:53">
      <c r="A625" s="82" t="s">
        <v>737</v>
      </c>
      <c r="B625" s="83">
        <f t="shared" si="95"/>
        <v>8913.280898750636</v>
      </c>
      <c r="C625" s="84">
        <v>508</v>
      </c>
      <c r="D625" s="84"/>
      <c r="E625" s="125" t="s">
        <v>833</v>
      </c>
      <c r="F625" s="84"/>
      <c r="G625" s="84"/>
      <c r="H625" s="85">
        <v>240.69626274743558</v>
      </c>
      <c r="I625" s="86">
        <v>245.29555439229105</v>
      </c>
      <c r="J625" s="86">
        <v>30661.944299036382</v>
      </c>
      <c r="K625" s="86">
        <v>1.5959290680236149</v>
      </c>
      <c r="L625" s="87">
        <v>914277855.1086669</v>
      </c>
      <c r="M625" s="88">
        <v>3599519.1146010505</v>
      </c>
      <c r="N625" s="88">
        <v>4765546.666666667</v>
      </c>
      <c r="O625" s="89">
        <v>172.67889274604468</v>
      </c>
      <c r="P625" s="88">
        <v>914277855.1086669</v>
      </c>
      <c r="Q625" s="88">
        <v>3599519.1146010505</v>
      </c>
      <c r="R625" s="88">
        <v>4765546.666666667</v>
      </c>
      <c r="S625" s="86">
        <v>172.67889274604468</v>
      </c>
      <c r="T625" s="87">
        <v>1828555710.2173338</v>
      </c>
      <c r="U625" s="119"/>
      <c r="V625" s="90">
        <v>1</v>
      </c>
      <c r="W625" s="91">
        <v>1</v>
      </c>
      <c r="X625" s="91">
        <v>1</v>
      </c>
      <c r="Y625" s="91">
        <v>1</v>
      </c>
      <c r="Z625" s="91">
        <v>1</v>
      </c>
      <c r="AA625" s="92">
        <v>1</v>
      </c>
      <c r="AB625" s="91">
        <v>1</v>
      </c>
      <c r="AC625" s="91">
        <v>2</v>
      </c>
      <c r="AD625" s="91">
        <v>2</v>
      </c>
      <c r="AE625" s="91">
        <v>2</v>
      </c>
      <c r="AF625" s="90">
        <v>1</v>
      </c>
      <c r="AG625" s="91">
        <v>1</v>
      </c>
      <c r="AH625" s="91">
        <v>2</v>
      </c>
      <c r="AI625" s="91">
        <v>2</v>
      </c>
      <c r="AJ625" s="91">
        <v>2</v>
      </c>
      <c r="AK625" s="210">
        <f t="shared" si="96"/>
        <v>52.049180327868854</v>
      </c>
      <c r="AL625" s="146"/>
      <c r="AM625" s="94"/>
      <c r="AN625" s="95"/>
      <c r="AO625" s="91" t="str">
        <f>IF(head!$F$82="S460","a0","a")</f>
        <v>a</v>
      </c>
      <c r="AP625" s="91">
        <f t="shared" si="91"/>
        <v>0.21</v>
      </c>
      <c r="AQ625" s="96">
        <f>IF(head!F$82="S235",235,IF(head!F$82="S275",275,IF(head!F$82="S355",355,IF(head!F$82="S420",420,460))))^0.5*head!$G$70*1000/(S625*3.1416*210000^0.5)</f>
        <v>0.75790432553894227</v>
      </c>
      <c r="AR625" s="96">
        <f t="shared" si="92"/>
        <v>0.84578943751690838</v>
      </c>
      <c r="AS625" s="96">
        <f t="shared" si="93"/>
        <v>0.81885979808516229</v>
      </c>
      <c r="AT625" s="50">
        <f>IF(head!F$82="S235",235,IF(head!F$82="S275",275,IF(head!F$82="S355",355,IF(head!F$82="S420",420,460))))*AS625*J625/1000</f>
        <v>8913.280898750636</v>
      </c>
      <c r="AU625" s="207" t="s">
        <v>47</v>
      </c>
      <c r="AV625" s="208" t="s">
        <v>47</v>
      </c>
      <c r="AW625" s="208" t="s">
        <v>47</v>
      </c>
      <c r="AX625" s="209" t="s">
        <v>47</v>
      </c>
      <c r="AY625" s="208" t="s">
        <v>47</v>
      </c>
      <c r="AZ625" s="197">
        <v>0</v>
      </c>
      <c r="BA625" s="97" t="s">
        <v>153</v>
      </c>
    </row>
    <row r="626" spans="1:53">
      <c r="A626" s="61"/>
      <c r="B626" s="62">
        <v>0</v>
      </c>
      <c r="C626" s="63"/>
      <c r="D626" s="63"/>
      <c r="E626" s="124"/>
      <c r="F626" s="63"/>
      <c r="G626" s="63"/>
      <c r="H626" s="64"/>
      <c r="I626" s="65"/>
      <c r="J626" s="65"/>
      <c r="K626" s="65"/>
      <c r="L626" s="66"/>
      <c r="M626" s="67"/>
      <c r="N626" s="67"/>
      <c r="O626" s="68"/>
      <c r="P626" s="67"/>
      <c r="Q626" s="67"/>
      <c r="R626" s="67"/>
      <c r="S626" s="65"/>
      <c r="T626" s="66"/>
      <c r="U626" s="120"/>
      <c r="V626" s="69"/>
      <c r="W626" s="70"/>
      <c r="X626" s="70"/>
      <c r="Y626" s="70"/>
      <c r="Z626" s="70"/>
      <c r="AA626" s="71"/>
      <c r="AB626" s="70"/>
      <c r="AC626" s="70"/>
      <c r="AD626" s="70"/>
      <c r="AE626" s="70"/>
      <c r="AF626" s="69"/>
      <c r="AG626" s="70"/>
      <c r="AH626" s="70"/>
      <c r="AI626" s="70"/>
      <c r="AJ626" s="70"/>
      <c r="AK626" s="78"/>
      <c r="AL626" s="79"/>
      <c r="AM626" s="80"/>
      <c r="AN626" s="81"/>
      <c r="AO626" s="70"/>
      <c r="AP626" s="70"/>
      <c r="AQ626" s="72"/>
      <c r="AR626" s="72"/>
      <c r="AS626" s="72"/>
      <c r="AT626" s="52"/>
      <c r="AU626" s="192"/>
      <c r="AV626" s="52"/>
      <c r="AW626" s="52"/>
      <c r="AX626" s="105"/>
      <c r="AY626" s="52"/>
      <c r="AZ626" s="191"/>
      <c r="BA626" s="77" t="str">
        <f>A627</f>
        <v>HF SHS 40 x 2,9</v>
      </c>
    </row>
    <row r="627" spans="1:53">
      <c r="A627" s="61" t="s">
        <v>738</v>
      </c>
      <c r="B627" s="62">
        <f>AT627</f>
        <v>1.9176125220784237</v>
      </c>
      <c r="C627" s="63">
        <v>40</v>
      </c>
      <c r="D627" s="63">
        <v>40</v>
      </c>
      <c r="E627" s="124">
        <v>2.9</v>
      </c>
      <c r="F627" s="63"/>
      <c r="G627" s="63"/>
      <c r="H627" s="64">
        <v>3.3</v>
      </c>
      <c r="I627" s="65">
        <v>3.4</v>
      </c>
      <c r="J627" s="65">
        <v>421</v>
      </c>
      <c r="K627" s="65">
        <v>0.1525</v>
      </c>
      <c r="L627" s="66">
        <v>95000</v>
      </c>
      <c r="M627" s="67">
        <v>4800</v>
      </c>
      <c r="N627" s="67">
        <v>5800</v>
      </c>
      <c r="O627" s="68">
        <v>15</v>
      </c>
      <c r="P627" s="67">
        <v>95000</v>
      </c>
      <c r="Q627" s="67">
        <v>4800</v>
      </c>
      <c r="R627" s="67">
        <v>5800</v>
      </c>
      <c r="S627" s="65">
        <v>15</v>
      </c>
      <c r="T627" s="66">
        <v>157000</v>
      </c>
      <c r="U627" s="120"/>
      <c r="V627" s="69">
        <v>1</v>
      </c>
      <c r="W627" s="70">
        <v>1</v>
      </c>
      <c r="X627" s="70">
        <v>1</v>
      </c>
      <c r="Y627" s="70">
        <v>1</v>
      </c>
      <c r="Z627" s="70">
        <v>1</v>
      </c>
      <c r="AA627" s="71">
        <v>1</v>
      </c>
      <c r="AB627" s="70">
        <v>1</v>
      </c>
      <c r="AC627" s="70">
        <v>1</v>
      </c>
      <c r="AD627" s="70">
        <v>1</v>
      </c>
      <c r="AE627" s="70">
        <v>1</v>
      </c>
      <c r="AF627" s="69">
        <v>1</v>
      </c>
      <c r="AG627" s="70">
        <v>1</v>
      </c>
      <c r="AH627" s="70">
        <v>1</v>
      </c>
      <c r="AI627" s="70">
        <v>1</v>
      </c>
      <c r="AJ627" s="70">
        <v>1</v>
      </c>
      <c r="AK627" s="78">
        <f>K627/J627*1000000</f>
        <v>362.23277909738715</v>
      </c>
      <c r="AL627" s="79"/>
      <c r="AM627" s="80"/>
      <c r="AN627" s="81"/>
      <c r="AO627" s="70" t="str">
        <f>IF(head!$F$82="S460","a0","a")</f>
        <v>a</v>
      </c>
      <c r="AP627" s="70">
        <f>IF(AO627="a0",0.13,IF(AO627="a",0.21,IF(AO627="b",0.34,IF(AO627="c",0.49,0.76))))</f>
        <v>0.21</v>
      </c>
      <c r="AQ627" s="72">
        <f>IF(head!F$82="S235",235,IF(head!F$82="S275",275,IF(head!F$82="S355",355,IF(head!F$82="S420",420,460))))^0.5*head!$G$70*1000/(S627*3.1416*210000^0.5)</f>
        <v>8.72493864943349</v>
      </c>
      <c r="AR627" s="72">
        <f>0.5*(1+AP627*(AQ627-0.2)+AQ627^2)</f>
        <v>39.457395776379663</v>
      </c>
      <c r="AS627" s="72">
        <f>IF(AQ627&lt;=0.2,1,1/(AR627+(AR627^2-AQ627^2)^0.5))</f>
        <v>1.2830701696687456E-2</v>
      </c>
      <c r="AT627" s="52">
        <f>IF(head!F$82="S235",235,IF(head!F$82="S275",275,IF(head!F$82="S355",355,IF(head!F$82="S420",420,460))))*AS627*J627/1000</f>
        <v>1.9176125220784237</v>
      </c>
      <c r="AU627" s="192"/>
      <c r="AV627" s="52"/>
      <c r="AW627" s="52"/>
      <c r="AX627" s="105"/>
      <c r="AY627" s="52"/>
      <c r="AZ627" s="191">
        <v>0</v>
      </c>
      <c r="BA627" s="77" t="str">
        <f>A628</f>
        <v>HF SHS 40 x 4</v>
      </c>
    </row>
    <row r="628" spans="1:53">
      <c r="A628" s="61" t="s">
        <v>739</v>
      </c>
      <c r="B628" s="62">
        <f t="shared" ref="B628:B691" si="97">AT628</f>
        <v>2.3811218744185578</v>
      </c>
      <c r="C628" s="63">
        <v>40</v>
      </c>
      <c r="D628" s="63">
        <v>40</v>
      </c>
      <c r="E628" s="124">
        <v>4</v>
      </c>
      <c r="F628" s="63"/>
      <c r="G628" s="63"/>
      <c r="H628" s="64">
        <v>4.4000000000000004</v>
      </c>
      <c r="I628" s="65">
        <v>4.5</v>
      </c>
      <c r="J628" s="65">
        <v>559</v>
      </c>
      <c r="K628" s="65">
        <v>0.1497</v>
      </c>
      <c r="L628" s="66">
        <v>118000</v>
      </c>
      <c r="M628" s="67">
        <v>5900</v>
      </c>
      <c r="N628" s="67">
        <v>7400</v>
      </c>
      <c r="O628" s="68">
        <v>14.5</v>
      </c>
      <c r="P628" s="67">
        <v>118000</v>
      </c>
      <c r="Q628" s="67">
        <v>5900</v>
      </c>
      <c r="R628" s="67">
        <v>7400</v>
      </c>
      <c r="S628" s="65">
        <v>14.5</v>
      </c>
      <c r="T628" s="66">
        <v>201000</v>
      </c>
      <c r="U628" s="120"/>
      <c r="V628" s="69">
        <v>1</v>
      </c>
      <c r="W628" s="70">
        <v>1</v>
      </c>
      <c r="X628" s="70">
        <v>1</v>
      </c>
      <c r="Y628" s="70">
        <v>1</v>
      </c>
      <c r="Z628" s="70">
        <v>1</v>
      </c>
      <c r="AA628" s="71">
        <v>1</v>
      </c>
      <c r="AB628" s="70">
        <v>1</v>
      </c>
      <c r="AC628" s="70">
        <v>1</v>
      </c>
      <c r="AD628" s="70">
        <v>1</v>
      </c>
      <c r="AE628" s="70">
        <v>1</v>
      </c>
      <c r="AF628" s="69">
        <v>1</v>
      </c>
      <c r="AG628" s="70">
        <v>1</v>
      </c>
      <c r="AH628" s="70">
        <v>1</v>
      </c>
      <c r="AI628" s="70">
        <v>1</v>
      </c>
      <c r="AJ628" s="70">
        <v>1</v>
      </c>
      <c r="AK628" s="78">
        <f t="shared" ref="AK628:AK691" si="98">K628/J628*1000000</f>
        <v>267.7996422182469</v>
      </c>
      <c r="AL628" s="79"/>
      <c r="AM628" s="80"/>
      <c r="AN628" s="81"/>
      <c r="AO628" s="70" t="str">
        <f>IF(head!$F$82="S460","a0","a")</f>
        <v>a</v>
      </c>
      <c r="AP628" s="70">
        <f t="shared" ref="AP628:AP691" si="99">IF(AO628="a0",0.13,IF(AO628="a",0.21,IF(AO628="b",0.34,IF(AO628="c",0.49,0.76))))</f>
        <v>0.21</v>
      </c>
      <c r="AQ628" s="72">
        <f>IF(head!F$82="S235",235,IF(head!F$82="S275",275,IF(head!F$82="S355",355,IF(head!F$82="S420",420,460))))^0.5*head!$G$70*1000/(S628*3.1416*210000^0.5)</f>
        <v>9.0257986028622312</v>
      </c>
      <c r="AR628" s="72">
        <f t="shared" ref="AR628:AR691" si="100">0.5*(1+AP628*(AQ628-0.2)+AQ628^2)</f>
        <v>42.159229063015438</v>
      </c>
      <c r="AS628" s="72">
        <f t="shared" ref="AS628:AS691" si="101">IF(AQ628&lt;=0.2,1,1/(AR628+(AR628^2-AQ628^2)^0.5))</f>
        <v>1.1998900826015057E-2</v>
      </c>
      <c r="AT628" s="52">
        <f>IF(head!F$82="S235",235,IF(head!F$82="S275",275,IF(head!F$82="S355",355,IF(head!F$82="S420",420,460))))*AS628*J628/1000</f>
        <v>2.3811218744185578</v>
      </c>
      <c r="AU628" s="192"/>
      <c r="AV628" s="52"/>
      <c r="AW628" s="52"/>
      <c r="AX628" s="105"/>
      <c r="AY628" s="52"/>
      <c r="AZ628" s="191">
        <v>0</v>
      </c>
      <c r="BA628" s="77" t="str">
        <f t="shared" ref="BA628:BA691" si="102">A629</f>
        <v>HF SHS 40 x 5</v>
      </c>
    </row>
    <row r="629" spans="1:53">
      <c r="A629" s="61" t="s">
        <v>740</v>
      </c>
      <c r="B629" s="62">
        <f t="shared" si="97"/>
        <v>2.7124211840257306</v>
      </c>
      <c r="C629" s="63">
        <v>40</v>
      </c>
      <c r="D629" s="63">
        <v>40</v>
      </c>
      <c r="E629" s="124">
        <v>5</v>
      </c>
      <c r="F629" s="63"/>
      <c r="G629" s="63"/>
      <c r="H629" s="64">
        <v>5.3</v>
      </c>
      <c r="I629" s="65">
        <v>5.4</v>
      </c>
      <c r="J629" s="65">
        <v>673</v>
      </c>
      <c r="K629" s="65">
        <v>0.14710000000000001</v>
      </c>
      <c r="L629" s="66">
        <v>134000</v>
      </c>
      <c r="M629" s="67">
        <v>6700</v>
      </c>
      <c r="N629" s="67">
        <v>8700</v>
      </c>
      <c r="O629" s="68">
        <v>14.1</v>
      </c>
      <c r="P629" s="67">
        <v>134000</v>
      </c>
      <c r="Q629" s="67">
        <v>6700</v>
      </c>
      <c r="R629" s="67">
        <v>8700</v>
      </c>
      <c r="S629" s="65">
        <v>14.1</v>
      </c>
      <c r="T629" s="66">
        <v>234000</v>
      </c>
      <c r="U629" s="120"/>
      <c r="V629" s="69">
        <v>1</v>
      </c>
      <c r="W629" s="70">
        <v>1</v>
      </c>
      <c r="X629" s="70">
        <v>1</v>
      </c>
      <c r="Y629" s="70">
        <v>1</v>
      </c>
      <c r="Z629" s="70">
        <v>1</v>
      </c>
      <c r="AA629" s="71">
        <v>1</v>
      </c>
      <c r="AB629" s="70">
        <v>1</v>
      </c>
      <c r="AC629" s="70">
        <v>1</v>
      </c>
      <c r="AD629" s="70">
        <v>1</v>
      </c>
      <c r="AE629" s="70">
        <v>1</v>
      </c>
      <c r="AF629" s="69">
        <v>1</v>
      </c>
      <c r="AG629" s="70">
        <v>1</v>
      </c>
      <c r="AH629" s="70">
        <v>1</v>
      </c>
      <c r="AI629" s="70">
        <v>1</v>
      </c>
      <c r="AJ629" s="70">
        <v>1</v>
      </c>
      <c r="AK629" s="78">
        <f t="shared" si="98"/>
        <v>218.57355126300152</v>
      </c>
      <c r="AL629" s="79"/>
      <c r="AM629" s="80"/>
      <c r="AN629" s="81"/>
      <c r="AO629" s="70" t="str">
        <f>IF(head!$F$82="S460","a0","a")</f>
        <v>a</v>
      </c>
      <c r="AP629" s="70">
        <f t="shared" si="99"/>
        <v>0.21</v>
      </c>
      <c r="AQ629" s="72">
        <f>IF(head!F$82="S235",235,IF(head!F$82="S275",275,IF(head!F$82="S355",355,IF(head!F$82="S420",420,460))))^0.5*head!$G$70*1000/(S629*3.1416*210000^0.5)</f>
        <v>9.2818496270569053</v>
      </c>
      <c r="AR629" s="72">
        <f t="shared" si="100"/>
        <v>44.529960460489178</v>
      </c>
      <c r="AS629" s="72">
        <f t="shared" si="101"/>
        <v>1.1353080317375346E-2</v>
      </c>
      <c r="AT629" s="52">
        <f>IF(head!F$82="S235",235,IF(head!F$82="S275",275,IF(head!F$82="S355",355,IF(head!F$82="S420",420,460))))*AS629*J629/1000</f>
        <v>2.7124211840257306</v>
      </c>
      <c r="AU629" s="192"/>
      <c r="AV629" s="52"/>
      <c r="AW629" s="52"/>
      <c r="AX629" s="105"/>
      <c r="AY629" s="52"/>
      <c r="AZ629" s="191">
        <v>0</v>
      </c>
      <c r="BA629" s="77" t="str">
        <f t="shared" si="102"/>
        <v>HF SHS 50 x 2,9</v>
      </c>
    </row>
    <row r="630" spans="1:53">
      <c r="A630" s="61" t="s">
        <v>741</v>
      </c>
      <c r="B630" s="62">
        <f t="shared" si="97"/>
        <v>3.9406163223214361</v>
      </c>
      <c r="C630" s="63">
        <v>50</v>
      </c>
      <c r="D630" s="63">
        <v>50</v>
      </c>
      <c r="E630" s="124">
        <v>2.9</v>
      </c>
      <c r="F630" s="63"/>
      <c r="G630" s="63"/>
      <c r="H630" s="64">
        <v>4.2</v>
      </c>
      <c r="I630" s="65">
        <v>4.3</v>
      </c>
      <c r="J630" s="65">
        <v>537</v>
      </c>
      <c r="K630" s="65">
        <v>0.1925</v>
      </c>
      <c r="L630" s="66">
        <v>197000</v>
      </c>
      <c r="M630" s="67">
        <v>7900</v>
      </c>
      <c r="N630" s="67">
        <v>9400</v>
      </c>
      <c r="O630" s="68">
        <v>19.100000000000001</v>
      </c>
      <c r="P630" s="67">
        <v>197000</v>
      </c>
      <c r="Q630" s="67">
        <v>7900</v>
      </c>
      <c r="R630" s="67">
        <v>9400</v>
      </c>
      <c r="S630" s="65">
        <v>19.100000000000001</v>
      </c>
      <c r="T630" s="66">
        <v>318000</v>
      </c>
      <c r="U630" s="120"/>
      <c r="V630" s="69">
        <v>1</v>
      </c>
      <c r="W630" s="70">
        <v>1</v>
      </c>
      <c r="X630" s="70">
        <v>1</v>
      </c>
      <c r="Y630" s="70">
        <v>1</v>
      </c>
      <c r="Z630" s="70">
        <v>1</v>
      </c>
      <c r="AA630" s="71">
        <v>1</v>
      </c>
      <c r="AB630" s="70">
        <v>1</v>
      </c>
      <c r="AC630" s="70">
        <v>1</v>
      </c>
      <c r="AD630" s="70">
        <v>1</v>
      </c>
      <c r="AE630" s="70">
        <v>1</v>
      </c>
      <c r="AF630" s="69">
        <v>1</v>
      </c>
      <c r="AG630" s="70">
        <v>1</v>
      </c>
      <c r="AH630" s="70">
        <v>1</v>
      </c>
      <c r="AI630" s="70">
        <v>1</v>
      </c>
      <c r="AJ630" s="70">
        <v>1</v>
      </c>
      <c r="AK630" s="78">
        <f t="shared" si="98"/>
        <v>358.47299813780262</v>
      </c>
      <c r="AL630" s="79"/>
      <c r="AM630" s="80"/>
      <c r="AN630" s="81"/>
      <c r="AO630" s="70" t="str">
        <f>IF(head!$F$82="S460","a0","a")</f>
        <v>a</v>
      </c>
      <c r="AP630" s="70">
        <f t="shared" si="99"/>
        <v>0.21</v>
      </c>
      <c r="AQ630" s="72">
        <f>IF(head!F$82="S235",235,IF(head!F$82="S275",275,IF(head!F$82="S355",355,IF(head!F$82="S420",420,460))))^0.5*head!$G$70*1000/(S630*3.1416*210000^0.5)</f>
        <v>6.852046059764521</v>
      </c>
      <c r="AR630" s="72">
        <f t="shared" si="100"/>
        <v>24.673732438842524</v>
      </c>
      <c r="AS630" s="72">
        <f t="shared" si="101"/>
        <v>2.0671001244899605E-2</v>
      </c>
      <c r="AT630" s="52">
        <f>IF(head!F$82="S235",235,IF(head!F$82="S275",275,IF(head!F$82="S355",355,IF(head!F$82="S420",420,460))))*AS630*J630/1000</f>
        <v>3.9406163223214361</v>
      </c>
      <c r="AU630" s="192"/>
      <c r="AV630" s="52"/>
      <c r="AW630" s="52"/>
      <c r="AX630" s="105"/>
      <c r="AY630" s="52"/>
      <c r="AZ630" s="191">
        <v>0</v>
      </c>
      <c r="BA630" s="77" t="str">
        <f t="shared" si="102"/>
        <v>HF SHS 50 x 4</v>
      </c>
    </row>
    <row r="631" spans="1:53">
      <c r="A631" s="61" t="s">
        <v>742</v>
      </c>
      <c r="B631" s="62">
        <f t="shared" si="97"/>
        <v>5.0074526149934417</v>
      </c>
      <c r="C631" s="63">
        <v>50</v>
      </c>
      <c r="D631" s="63">
        <v>50</v>
      </c>
      <c r="E631" s="124">
        <v>4</v>
      </c>
      <c r="F631" s="63"/>
      <c r="G631" s="63"/>
      <c r="H631" s="64">
        <v>5.6</v>
      </c>
      <c r="I631" s="65">
        <v>5.8</v>
      </c>
      <c r="J631" s="65">
        <v>719</v>
      </c>
      <c r="K631" s="65">
        <v>0.18970000000000001</v>
      </c>
      <c r="L631" s="66">
        <v>250000</v>
      </c>
      <c r="M631" s="67">
        <v>10000</v>
      </c>
      <c r="N631" s="67">
        <v>12300</v>
      </c>
      <c r="O631" s="68">
        <v>18.600000000000001</v>
      </c>
      <c r="P631" s="67">
        <v>250000</v>
      </c>
      <c r="Q631" s="67">
        <v>10000</v>
      </c>
      <c r="R631" s="67">
        <v>12300</v>
      </c>
      <c r="S631" s="65">
        <v>18.600000000000001</v>
      </c>
      <c r="T631" s="66">
        <v>415000</v>
      </c>
      <c r="U631" s="120"/>
      <c r="V631" s="69">
        <v>1</v>
      </c>
      <c r="W631" s="70">
        <v>1</v>
      </c>
      <c r="X631" s="70">
        <v>1</v>
      </c>
      <c r="Y631" s="70">
        <v>1</v>
      </c>
      <c r="Z631" s="70">
        <v>1</v>
      </c>
      <c r="AA631" s="71">
        <v>1</v>
      </c>
      <c r="AB631" s="70">
        <v>1</v>
      </c>
      <c r="AC631" s="70">
        <v>1</v>
      </c>
      <c r="AD631" s="70">
        <v>1</v>
      </c>
      <c r="AE631" s="70">
        <v>1</v>
      </c>
      <c r="AF631" s="69">
        <v>1</v>
      </c>
      <c r="AG631" s="70">
        <v>1</v>
      </c>
      <c r="AH631" s="70">
        <v>1</v>
      </c>
      <c r="AI631" s="70">
        <v>1</v>
      </c>
      <c r="AJ631" s="70">
        <v>1</v>
      </c>
      <c r="AK631" s="78">
        <f t="shared" si="98"/>
        <v>263.83866481223924</v>
      </c>
      <c r="AL631" s="79"/>
      <c r="AM631" s="80"/>
      <c r="AN631" s="81"/>
      <c r="AO631" s="70" t="str">
        <f>IF(head!$F$82="S460","a0","a")</f>
        <v>a</v>
      </c>
      <c r="AP631" s="70">
        <f t="shared" si="99"/>
        <v>0.21</v>
      </c>
      <c r="AQ631" s="72">
        <f>IF(head!F$82="S235",235,IF(head!F$82="S275",275,IF(head!F$82="S355",355,IF(head!F$82="S420",420,460))))^0.5*head!$G$70*1000/(S631*3.1416*210000^0.5)</f>
        <v>7.0362408463173294</v>
      </c>
      <c r="AR631" s="72">
        <f t="shared" si="100"/>
        <v>25.972147912555524</v>
      </c>
      <c r="AS631" s="72">
        <f t="shared" si="101"/>
        <v>1.9618220200174112E-2</v>
      </c>
      <c r="AT631" s="52">
        <f>IF(head!F$82="S235",235,IF(head!F$82="S275",275,IF(head!F$82="S355",355,IF(head!F$82="S420",420,460))))*AS631*J631/1000</f>
        <v>5.0074526149934417</v>
      </c>
      <c r="AU631" s="192"/>
      <c r="AV631" s="52"/>
      <c r="AW631" s="52"/>
      <c r="AX631" s="105"/>
      <c r="AY631" s="52"/>
      <c r="AZ631" s="191">
        <v>0</v>
      </c>
      <c r="BA631" s="77" t="str">
        <f t="shared" si="102"/>
        <v>HF SHS 50 x 5</v>
      </c>
    </row>
    <row r="632" spans="1:53">
      <c r="A632" s="61" t="s">
        <v>743</v>
      </c>
      <c r="B632" s="62">
        <f t="shared" si="97"/>
        <v>5.8249210877848485</v>
      </c>
      <c r="C632" s="63">
        <v>50</v>
      </c>
      <c r="D632" s="63">
        <v>50</v>
      </c>
      <c r="E632" s="124">
        <v>5</v>
      </c>
      <c r="F632" s="63"/>
      <c r="G632" s="63"/>
      <c r="H632" s="64">
        <v>6.9</v>
      </c>
      <c r="I632" s="65">
        <v>7</v>
      </c>
      <c r="J632" s="65">
        <v>873</v>
      </c>
      <c r="K632" s="65">
        <v>0.18709999999999999</v>
      </c>
      <c r="L632" s="66">
        <v>289000</v>
      </c>
      <c r="M632" s="67">
        <v>11600</v>
      </c>
      <c r="N632" s="67">
        <v>14500</v>
      </c>
      <c r="O632" s="68">
        <v>18.2</v>
      </c>
      <c r="P632" s="67">
        <v>289000</v>
      </c>
      <c r="Q632" s="67">
        <v>11600</v>
      </c>
      <c r="R632" s="67">
        <v>14500</v>
      </c>
      <c r="S632" s="65">
        <v>18.2</v>
      </c>
      <c r="T632" s="66">
        <v>491000</v>
      </c>
      <c r="U632" s="120"/>
      <c r="V632" s="69">
        <v>1</v>
      </c>
      <c r="W632" s="70">
        <v>1</v>
      </c>
      <c r="X632" s="70">
        <v>1</v>
      </c>
      <c r="Y632" s="70">
        <v>1</v>
      </c>
      <c r="Z632" s="70">
        <v>1</v>
      </c>
      <c r="AA632" s="71">
        <v>1</v>
      </c>
      <c r="AB632" s="70">
        <v>1</v>
      </c>
      <c r="AC632" s="70">
        <v>1</v>
      </c>
      <c r="AD632" s="70">
        <v>1</v>
      </c>
      <c r="AE632" s="70">
        <v>1</v>
      </c>
      <c r="AF632" s="69">
        <v>1</v>
      </c>
      <c r="AG632" s="70">
        <v>1</v>
      </c>
      <c r="AH632" s="70">
        <v>1</v>
      </c>
      <c r="AI632" s="70">
        <v>1</v>
      </c>
      <c r="AJ632" s="70">
        <v>1</v>
      </c>
      <c r="AK632" s="78">
        <f t="shared" si="98"/>
        <v>214.31844215349369</v>
      </c>
      <c r="AL632" s="79"/>
      <c r="AM632" s="80"/>
      <c r="AN632" s="81"/>
      <c r="AO632" s="70" t="str">
        <f>IF(head!$F$82="S460","a0","a")</f>
        <v>a</v>
      </c>
      <c r="AP632" s="70">
        <f t="shared" si="99"/>
        <v>0.21</v>
      </c>
      <c r="AQ632" s="72">
        <f>IF(head!F$82="S235",235,IF(head!F$82="S275",275,IF(head!F$82="S355",355,IF(head!F$82="S420",420,460))))^0.5*head!$G$70*1000/(S632*3.1416*210000^0.5)</f>
        <v>7.1908835022803501</v>
      </c>
      <c r="AR632" s="72">
        <f t="shared" si="100"/>
        <v>27.088445539423294</v>
      </c>
      <c r="AS632" s="72">
        <f t="shared" si="101"/>
        <v>1.8795221553602918E-2</v>
      </c>
      <c r="AT632" s="52">
        <f>IF(head!F$82="S235",235,IF(head!F$82="S275",275,IF(head!F$82="S355",355,IF(head!F$82="S420",420,460))))*AS632*J632/1000</f>
        <v>5.8249210877848485</v>
      </c>
      <c r="AU632" s="192"/>
      <c r="AV632" s="52"/>
      <c r="AW632" s="52"/>
      <c r="AX632" s="105"/>
      <c r="AY632" s="52"/>
      <c r="AZ632" s="191">
        <v>0</v>
      </c>
      <c r="BA632" s="77" t="str">
        <f t="shared" si="102"/>
        <v>HF SHS 50 x 6,3</v>
      </c>
    </row>
    <row r="633" spans="1:53">
      <c r="A633" s="61" t="s">
        <v>744</v>
      </c>
      <c r="B633" s="62">
        <f t="shared" si="97"/>
        <v>6.6139433241094956</v>
      </c>
      <c r="C633" s="63">
        <v>50</v>
      </c>
      <c r="D633" s="63">
        <v>50</v>
      </c>
      <c r="E633" s="124">
        <v>6.3</v>
      </c>
      <c r="F633" s="63"/>
      <c r="G633" s="63"/>
      <c r="H633" s="64">
        <v>8.3000000000000007</v>
      </c>
      <c r="I633" s="65">
        <v>8.5</v>
      </c>
      <c r="J633" s="65">
        <v>1059</v>
      </c>
      <c r="K633" s="65">
        <v>0.18379999999999999</v>
      </c>
      <c r="L633" s="66">
        <v>328000</v>
      </c>
      <c r="M633" s="67">
        <v>13100</v>
      </c>
      <c r="N633" s="67">
        <v>17000</v>
      </c>
      <c r="O633" s="68">
        <v>17.600000000000001</v>
      </c>
      <c r="P633" s="67">
        <v>328000</v>
      </c>
      <c r="Q633" s="67">
        <v>13100</v>
      </c>
      <c r="R633" s="67">
        <v>17000</v>
      </c>
      <c r="S633" s="65">
        <v>17.600000000000001</v>
      </c>
      <c r="T633" s="66">
        <v>575000</v>
      </c>
      <c r="U633" s="120"/>
      <c r="V633" s="69">
        <v>1</v>
      </c>
      <c r="W633" s="70">
        <v>1</v>
      </c>
      <c r="X633" s="70">
        <v>1</v>
      </c>
      <c r="Y633" s="70">
        <v>1</v>
      </c>
      <c r="Z633" s="70">
        <v>1</v>
      </c>
      <c r="AA633" s="71">
        <v>1</v>
      </c>
      <c r="AB633" s="70">
        <v>1</v>
      </c>
      <c r="AC633" s="70">
        <v>1</v>
      </c>
      <c r="AD633" s="70">
        <v>1</v>
      </c>
      <c r="AE633" s="70">
        <v>1</v>
      </c>
      <c r="AF633" s="69">
        <v>1</v>
      </c>
      <c r="AG633" s="70">
        <v>1</v>
      </c>
      <c r="AH633" s="70">
        <v>1</v>
      </c>
      <c r="AI633" s="70">
        <v>1</v>
      </c>
      <c r="AJ633" s="70">
        <v>1</v>
      </c>
      <c r="AK633" s="78">
        <f t="shared" si="98"/>
        <v>173.55996222851746</v>
      </c>
      <c r="AL633" s="79"/>
      <c r="AM633" s="80"/>
      <c r="AN633" s="81"/>
      <c r="AO633" s="70" t="str">
        <f>IF(head!$F$82="S460","a0","a")</f>
        <v>a</v>
      </c>
      <c r="AP633" s="70">
        <f t="shared" si="99"/>
        <v>0.21</v>
      </c>
      <c r="AQ633" s="72">
        <f>IF(head!F$82="S235",235,IF(head!F$82="S275",275,IF(head!F$82="S355",355,IF(head!F$82="S420",420,460))))^0.5*head!$G$70*1000/(S633*3.1416*210000^0.5)</f>
        <v>7.4360272580399061</v>
      </c>
      <c r="AR633" s="72">
        <f t="shared" si="100"/>
        <v>28.907033553250432</v>
      </c>
      <c r="AS633" s="72">
        <f t="shared" si="101"/>
        <v>1.7592848220110643E-2</v>
      </c>
      <c r="AT633" s="52">
        <f>IF(head!F$82="S235",235,IF(head!F$82="S275",275,IF(head!F$82="S355",355,IF(head!F$82="S420",420,460))))*AS633*J633/1000</f>
        <v>6.6139433241094956</v>
      </c>
      <c r="AU633" s="192"/>
      <c r="AV633" s="52"/>
      <c r="AW633" s="52"/>
      <c r="AX633" s="105"/>
      <c r="AY633" s="52"/>
      <c r="AZ633" s="191">
        <v>0</v>
      </c>
      <c r="BA633" s="77" t="str">
        <f t="shared" si="102"/>
        <v>HF SHS 60 x 4</v>
      </c>
    </row>
    <row r="634" spans="1:53">
      <c r="A634" s="61" t="s">
        <v>745</v>
      </c>
      <c r="B634" s="62">
        <f t="shared" si="97"/>
        <v>9.0596827527500281</v>
      </c>
      <c r="C634" s="63">
        <v>60</v>
      </c>
      <c r="D634" s="63">
        <v>60</v>
      </c>
      <c r="E634" s="124">
        <v>4</v>
      </c>
      <c r="F634" s="63"/>
      <c r="G634" s="63"/>
      <c r="H634" s="64">
        <v>6.9</v>
      </c>
      <c r="I634" s="65">
        <v>7</v>
      </c>
      <c r="J634" s="65">
        <v>879</v>
      </c>
      <c r="K634" s="65">
        <v>0.22969999999999999</v>
      </c>
      <c r="L634" s="66">
        <v>454000</v>
      </c>
      <c r="M634" s="67">
        <v>15100</v>
      </c>
      <c r="N634" s="67">
        <v>18300</v>
      </c>
      <c r="O634" s="68">
        <v>22.7</v>
      </c>
      <c r="P634" s="67">
        <v>454000</v>
      </c>
      <c r="Q634" s="67">
        <v>15100</v>
      </c>
      <c r="R634" s="67">
        <v>18300</v>
      </c>
      <c r="S634" s="65">
        <v>22.7</v>
      </c>
      <c r="T634" s="66">
        <v>741000</v>
      </c>
      <c r="U634" s="120"/>
      <c r="V634" s="69">
        <v>1</v>
      </c>
      <c r="W634" s="70">
        <v>1</v>
      </c>
      <c r="X634" s="70">
        <v>1</v>
      </c>
      <c r="Y634" s="70">
        <v>1</v>
      </c>
      <c r="Z634" s="70">
        <v>1</v>
      </c>
      <c r="AA634" s="71">
        <v>1</v>
      </c>
      <c r="AB634" s="70">
        <v>1</v>
      </c>
      <c r="AC634" s="70">
        <v>1</v>
      </c>
      <c r="AD634" s="70">
        <v>1</v>
      </c>
      <c r="AE634" s="70">
        <v>1</v>
      </c>
      <c r="AF634" s="69">
        <v>1</v>
      </c>
      <c r="AG634" s="70">
        <v>1</v>
      </c>
      <c r="AH634" s="70">
        <v>1</v>
      </c>
      <c r="AI634" s="70">
        <v>1</v>
      </c>
      <c r="AJ634" s="70">
        <v>1</v>
      </c>
      <c r="AK634" s="78">
        <f t="shared" si="98"/>
        <v>261.31968145620021</v>
      </c>
      <c r="AL634" s="79"/>
      <c r="AM634" s="80"/>
      <c r="AN634" s="81"/>
      <c r="AO634" s="70" t="str">
        <f>IF(head!$F$82="S460","a0","a")</f>
        <v>a</v>
      </c>
      <c r="AP634" s="70">
        <f t="shared" si="99"/>
        <v>0.21</v>
      </c>
      <c r="AQ634" s="72">
        <f>IF(head!F$82="S235",235,IF(head!F$82="S275",275,IF(head!F$82="S355",355,IF(head!F$82="S420",420,460))))^0.5*head!$G$70*1000/(S634*3.1416*210000^0.5)</f>
        <v>5.7653779621807208</v>
      </c>
      <c r="AR634" s="72">
        <f t="shared" si="100"/>
        <v>17.704156209428536</v>
      </c>
      <c r="AS634" s="72">
        <f t="shared" si="101"/>
        <v>2.9033257231328904E-2</v>
      </c>
      <c r="AT634" s="52">
        <f>IF(head!F$82="S235",235,IF(head!F$82="S275",275,IF(head!F$82="S355",355,IF(head!F$82="S420",420,460))))*AS634*J634/1000</f>
        <v>9.0596827527500281</v>
      </c>
      <c r="AU634" s="192"/>
      <c r="AV634" s="52"/>
      <c r="AW634" s="52"/>
      <c r="AX634" s="105"/>
      <c r="AY634" s="52"/>
      <c r="AZ634" s="191">
        <v>0</v>
      </c>
      <c r="BA634" s="77" t="str">
        <f t="shared" si="102"/>
        <v>HF SHS 60 x 5</v>
      </c>
    </row>
    <row r="635" spans="1:53">
      <c r="A635" s="61" t="s">
        <v>746</v>
      </c>
      <c r="B635" s="62">
        <f t="shared" si="97"/>
        <v>10.679605935407709</v>
      </c>
      <c r="C635" s="63">
        <v>60</v>
      </c>
      <c r="D635" s="63">
        <v>60</v>
      </c>
      <c r="E635" s="124">
        <v>5</v>
      </c>
      <c r="F635" s="63"/>
      <c r="G635" s="63"/>
      <c r="H635" s="64">
        <v>8.4</v>
      </c>
      <c r="I635" s="65">
        <v>8.6</v>
      </c>
      <c r="J635" s="65">
        <v>1073</v>
      </c>
      <c r="K635" s="65">
        <v>0.2271</v>
      </c>
      <c r="L635" s="66">
        <v>533000</v>
      </c>
      <c r="M635" s="67">
        <v>17800</v>
      </c>
      <c r="N635" s="67">
        <v>21900</v>
      </c>
      <c r="O635" s="68">
        <v>22.3</v>
      </c>
      <c r="P635" s="67">
        <v>533000</v>
      </c>
      <c r="Q635" s="67">
        <v>17800</v>
      </c>
      <c r="R635" s="67">
        <v>21900</v>
      </c>
      <c r="S635" s="65">
        <v>22.3</v>
      </c>
      <c r="T635" s="66">
        <v>888000</v>
      </c>
      <c r="U635" s="120"/>
      <c r="V635" s="69">
        <v>1</v>
      </c>
      <c r="W635" s="70">
        <v>1</v>
      </c>
      <c r="X635" s="70">
        <v>1</v>
      </c>
      <c r="Y635" s="70">
        <v>1</v>
      </c>
      <c r="Z635" s="70">
        <v>1</v>
      </c>
      <c r="AA635" s="71">
        <v>1</v>
      </c>
      <c r="AB635" s="70">
        <v>1</v>
      </c>
      <c r="AC635" s="70">
        <v>1</v>
      </c>
      <c r="AD635" s="70">
        <v>1</v>
      </c>
      <c r="AE635" s="70">
        <v>1</v>
      </c>
      <c r="AF635" s="69">
        <v>1</v>
      </c>
      <c r="AG635" s="70">
        <v>1</v>
      </c>
      <c r="AH635" s="70">
        <v>1</v>
      </c>
      <c r="AI635" s="70">
        <v>1</v>
      </c>
      <c r="AJ635" s="70">
        <v>1</v>
      </c>
      <c r="AK635" s="78">
        <f t="shared" si="98"/>
        <v>211.64958061509788</v>
      </c>
      <c r="AL635" s="79"/>
      <c r="AM635" s="80"/>
      <c r="AN635" s="81"/>
      <c r="AO635" s="70" t="str">
        <f>IF(head!$F$82="S460","a0","a")</f>
        <v>a</v>
      </c>
      <c r="AP635" s="70">
        <f t="shared" si="99"/>
        <v>0.21</v>
      </c>
      <c r="AQ635" s="72">
        <f>IF(head!F$82="S235",235,IF(head!F$82="S275",275,IF(head!F$82="S355",355,IF(head!F$82="S420",420,460))))^0.5*head!$G$70*1000/(S635*3.1416*210000^0.5)</f>
        <v>5.868792813520284</v>
      </c>
      <c r="AR635" s="72">
        <f t="shared" si="100"/>
        <v>18.316587789433296</v>
      </c>
      <c r="AS635" s="72">
        <f t="shared" si="101"/>
        <v>2.8036716683269781E-2</v>
      </c>
      <c r="AT635" s="52">
        <f>IF(head!F$82="S235",235,IF(head!F$82="S275",275,IF(head!F$82="S355",355,IF(head!F$82="S420",420,460))))*AS635*J635/1000</f>
        <v>10.679605935407709</v>
      </c>
      <c r="AU635" s="192"/>
      <c r="AV635" s="52"/>
      <c r="AW635" s="52"/>
      <c r="AX635" s="105"/>
      <c r="AY635" s="52"/>
      <c r="AZ635" s="191">
        <v>0</v>
      </c>
      <c r="BA635" s="77" t="str">
        <f t="shared" si="102"/>
        <v>HF SHS 60 x 6,3</v>
      </c>
    </row>
    <row r="636" spans="1:53">
      <c r="A636" s="61" t="s">
        <v>747</v>
      </c>
      <c r="B636" s="62">
        <f t="shared" si="97"/>
        <v>12.367372621512002</v>
      </c>
      <c r="C636" s="63">
        <v>60</v>
      </c>
      <c r="D636" s="63">
        <v>60</v>
      </c>
      <c r="E636" s="124">
        <v>6.3</v>
      </c>
      <c r="F636" s="63"/>
      <c r="G636" s="63"/>
      <c r="H636" s="64">
        <v>10.3</v>
      </c>
      <c r="I636" s="65">
        <v>10.5</v>
      </c>
      <c r="J636" s="65">
        <v>1311</v>
      </c>
      <c r="K636" s="65">
        <v>0.2238</v>
      </c>
      <c r="L636" s="66">
        <v>616000</v>
      </c>
      <c r="M636" s="67">
        <v>20500</v>
      </c>
      <c r="N636" s="67">
        <v>26000</v>
      </c>
      <c r="O636" s="68">
        <v>21.7</v>
      </c>
      <c r="P636" s="67">
        <v>616000</v>
      </c>
      <c r="Q636" s="67">
        <v>20500</v>
      </c>
      <c r="R636" s="67">
        <v>26000</v>
      </c>
      <c r="S636" s="65">
        <v>21.7</v>
      </c>
      <c r="T636" s="66">
        <v>1055000</v>
      </c>
      <c r="U636" s="120"/>
      <c r="V636" s="69">
        <v>1</v>
      </c>
      <c r="W636" s="70">
        <v>1</v>
      </c>
      <c r="X636" s="70">
        <v>1</v>
      </c>
      <c r="Y636" s="70">
        <v>1</v>
      </c>
      <c r="Z636" s="70">
        <v>1</v>
      </c>
      <c r="AA636" s="71">
        <v>1</v>
      </c>
      <c r="AB636" s="70">
        <v>1</v>
      </c>
      <c r="AC636" s="70">
        <v>1</v>
      </c>
      <c r="AD636" s="70">
        <v>1</v>
      </c>
      <c r="AE636" s="70">
        <v>1</v>
      </c>
      <c r="AF636" s="69">
        <v>1</v>
      </c>
      <c r="AG636" s="70">
        <v>1</v>
      </c>
      <c r="AH636" s="70">
        <v>1</v>
      </c>
      <c r="AI636" s="70">
        <v>1</v>
      </c>
      <c r="AJ636" s="70">
        <v>1</v>
      </c>
      <c r="AK636" s="78">
        <f t="shared" si="98"/>
        <v>170.70938215102973</v>
      </c>
      <c r="AL636" s="79"/>
      <c r="AM636" s="80"/>
      <c r="AN636" s="81"/>
      <c r="AO636" s="70" t="str">
        <f>IF(head!$F$82="S460","a0","a")</f>
        <v>a</v>
      </c>
      <c r="AP636" s="70">
        <f t="shared" si="99"/>
        <v>0.21</v>
      </c>
      <c r="AQ636" s="72">
        <f>IF(head!F$82="S235",235,IF(head!F$82="S275",275,IF(head!F$82="S355",355,IF(head!F$82="S420",420,460))))^0.5*head!$G$70*1000/(S636*3.1416*210000^0.5)</f>
        <v>6.0310635825577128</v>
      </c>
      <c r="AR636" s="72">
        <f t="shared" si="100"/>
        <v>19.299125644595499</v>
      </c>
      <c r="AS636" s="72">
        <f t="shared" si="101"/>
        <v>2.6573355725684086E-2</v>
      </c>
      <c r="AT636" s="52">
        <f>IF(head!F$82="S235",235,IF(head!F$82="S275",275,IF(head!F$82="S355",355,IF(head!F$82="S420",420,460))))*AS636*J636/1000</f>
        <v>12.367372621512002</v>
      </c>
      <c r="AU636" s="192"/>
      <c r="AV636" s="52"/>
      <c r="AW636" s="52"/>
      <c r="AX636" s="105"/>
      <c r="AY636" s="52"/>
      <c r="AZ636" s="191">
        <v>0</v>
      </c>
      <c r="BA636" s="77" t="str">
        <f t="shared" si="102"/>
        <v>HF SHS 60 x 8</v>
      </c>
    </row>
    <row r="637" spans="1:53">
      <c r="A637" s="61" t="s">
        <v>748</v>
      </c>
      <c r="B637" s="62">
        <f t="shared" si="97"/>
        <v>13.975056759240644</v>
      </c>
      <c r="C637" s="63">
        <v>60</v>
      </c>
      <c r="D637" s="63">
        <v>60</v>
      </c>
      <c r="E637" s="124">
        <v>8</v>
      </c>
      <c r="F637" s="63"/>
      <c r="G637" s="63"/>
      <c r="H637" s="64">
        <v>12.5</v>
      </c>
      <c r="I637" s="65">
        <v>12.8</v>
      </c>
      <c r="J637" s="65">
        <v>1595</v>
      </c>
      <c r="K637" s="65">
        <v>0.21940000000000001</v>
      </c>
      <c r="L637" s="66">
        <v>697000</v>
      </c>
      <c r="M637" s="67">
        <v>23200</v>
      </c>
      <c r="N637" s="67">
        <v>30400</v>
      </c>
      <c r="O637" s="68">
        <v>20.9</v>
      </c>
      <c r="P637" s="67">
        <v>697000</v>
      </c>
      <c r="Q637" s="67">
        <v>23200</v>
      </c>
      <c r="R637" s="67">
        <v>30400</v>
      </c>
      <c r="S637" s="65">
        <v>20.9</v>
      </c>
      <c r="T637" s="66">
        <v>1234000</v>
      </c>
      <c r="U637" s="120"/>
      <c r="V637" s="69">
        <v>1</v>
      </c>
      <c r="W637" s="70">
        <v>1</v>
      </c>
      <c r="X637" s="70">
        <v>1</v>
      </c>
      <c r="Y637" s="70">
        <v>1</v>
      </c>
      <c r="Z637" s="70">
        <v>1</v>
      </c>
      <c r="AA637" s="71">
        <v>1</v>
      </c>
      <c r="AB637" s="70">
        <v>1</v>
      </c>
      <c r="AC637" s="70">
        <v>1</v>
      </c>
      <c r="AD637" s="70">
        <v>1</v>
      </c>
      <c r="AE637" s="70">
        <v>1</v>
      </c>
      <c r="AF637" s="69">
        <v>1</v>
      </c>
      <c r="AG637" s="70">
        <v>1</v>
      </c>
      <c r="AH637" s="70">
        <v>1</v>
      </c>
      <c r="AI637" s="70">
        <v>1</v>
      </c>
      <c r="AJ637" s="70">
        <v>1</v>
      </c>
      <c r="AK637" s="78">
        <f t="shared" si="98"/>
        <v>137.55485893416929</v>
      </c>
      <c r="AL637" s="79"/>
      <c r="AM637" s="80"/>
      <c r="AN637" s="81"/>
      <c r="AO637" s="70" t="str">
        <f>IF(head!$F$82="S460","a0","a")</f>
        <v>a</v>
      </c>
      <c r="AP637" s="70">
        <f t="shared" si="99"/>
        <v>0.21</v>
      </c>
      <c r="AQ637" s="72">
        <f>IF(head!F$82="S235",235,IF(head!F$82="S275",275,IF(head!F$82="S355",355,IF(head!F$82="S420",420,460))))^0.5*head!$G$70*1000/(S637*3.1416*210000^0.5)</f>
        <v>6.2619176909809742</v>
      </c>
      <c r="AR637" s="72">
        <f t="shared" si="100"/>
        <v>20.742307941863249</v>
      </c>
      <c r="AS637" s="72">
        <f t="shared" si="101"/>
        <v>2.4681101610209095E-2</v>
      </c>
      <c r="AT637" s="52">
        <f>IF(head!F$82="S235",235,IF(head!F$82="S275",275,IF(head!F$82="S355",355,IF(head!F$82="S420",420,460))))*AS637*J637/1000</f>
        <v>13.975056759240644</v>
      </c>
      <c r="AU637" s="192"/>
      <c r="AV637" s="52"/>
      <c r="AW637" s="52"/>
      <c r="AX637" s="105"/>
      <c r="AY637" s="52"/>
      <c r="AZ637" s="191">
        <v>0</v>
      </c>
      <c r="BA637" s="77" t="str">
        <f t="shared" si="102"/>
        <v>HF SHS 70 x 4</v>
      </c>
    </row>
    <row r="638" spans="1:53">
      <c r="A638" s="61" t="s">
        <v>749</v>
      </c>
      <c r="B638" s="62">
        <f t="shared" si="97"/>
        <v>14.829774965673574</v>
      </c>
      <c r="C638" s="63">
        <v>70</v>
      </c>
      <c r="D638" s="63">
        <v>70</v>
      </c>
      <c r="E638" s="124">
        <v>4</v>
      </c>
      <c r="F638" s="63"/>
      <c r="G638" s="63"/>
      <c r="H638" s="64">
        <v>8.1999999999999993</v>
      </c>
      <c r="I638" s="65">
        <v>8.3000000000000007</v>
      </c>
      <c r="J638" s="65">
        <v>1039</v>
      </c>
      <c r="K638" s="65">
        <v>0.2697</v>
      </c>
      <c r="L638" s="66">
        <v>747000</v>
      </c>
      <c r="M638" s="67">
        <v>21300</v>
      </c>
      <c r="N638" s="67">
        <v>25500</v>
      </c>
      <c r="O638" s="68">
        <v>26.8</v>
      </c>
      <c r="P638" s="67">
        <v>747000</v>
      </c>
      <c r="Q638" s="67">
        <v>21300</v>
      </c>
      <c r="R638" s="67">
        <v>25500</v>
      </c>
      <c r="S638" s="65">
        <v>26.8</v>
      </c>
      <c r="T638" s="66">
        <v>1205000</v>
      </c>
      <c r="U638" s="120"/>
      <c r="V638" s="69">
        <v>1</v>
      </c>
      <c r="W638" s="70">
        <v>1</v>
      </c>
      <c r="X638" s="70">
        <v>1</v>
      </c>
      <c r="Y638" s="70">
        <v>1</v>
      </c>
      <c r="Z638" s="70">
        <v>1</v>
      </c>
      <c r="AA638" s="71">
        <v>1</v>
      </c>
      <c r="AB638" s="70">
        <v>1</v>
      </c>
      <c r="AC638" s="70">
        <v>1</v>
      </c>
      <c r="AD638" s="70">
        <v>1</v>
      </c>
      <c r="AE638" s="70">
        <v>1</v>
      </c>
      <c r="AF638" s="69">
        <v>1</v>
      </c>
      <c r="AG638" s="70">
        <v>1</v>
      </c>
      <c r="AH638" s="70">
        <v>1</v>
      </c>
      <c r="AI638" s="70">
        <v>1</v>
      </c>
      <c r="AJ638" s="70">
        <v>1</v>
      </c>
      <c r="AK638" s="78">
        <f t="shared" si="98"/>
        <v>259.57651588065448</v>
      </c>
      <c r="AL638" s="79"/>
      <c r="AM638" s="80"/>
      <c r="AN638" s="81"/>
      <c r="AO638" s="70" t="str">
        <f>IF(head!$F$82="S460","a0","a")</f>
        <v>a</v>
      </c>
      <c r="AP638" s="70">
        <f t="shared" si="99"/>
        <v>0.21</v>
      </c>
      <c r="AQ638" s="72">
        <f>IF(head!F$82="S235",235,IF(head!F$82="S275",275,IF(head!F$82="S355",355,IF(head!F$82="S420",420,460))))^0.5*head!$G$70*1000/(S638*3.1416*210000^0.5)</f>
        <v>4.8833611843844169</v>
      </c>
      <c r="AR638" s="72">
        <f t="shared" si="100"/>
        <v>12.915361152936551</v>
      </c>
      <c r="AS638" s="72">
        <f t="shared" si="101"/>
        <v>4.0205980738992189E-2</v>
      </c>
      <c r="AT638" s="52">
        <f>IF(head!F$82="S235",235,IF(head!F$82="S275",275,IF(head!F$82="S355",355,IF(head!F$82="S420",420,460))))*AS638*J638/1000</f>
        <v>14.829774965673574</v>
      </c>
      <c r="AU638" s="192"/>
      <c r="AV638" s="52"/>
      <c r="AW638" s="52"/>
      <c r="AX638" s="105"/>
      <c r="AY638" s="52"/>
      <c r="AZ638" s="191">
        <v>0</v>
      </c>
      <c r="BA638" s="77" t="str">
        <f t="shared" si="102"/>
        <v>HF SHS 70 x 5</v>
      </c>
    </row>
    <row r="639" spans="1:53">
      <c r="A639" s="61" t="s">
        <v>750</v>
      </c>
      <c r="B639" s="62">
        <f t="shared" si="97"/>
        <v>17.64261660542784</v>
      </c>
      <c r="C639" s="63">
        <v>70</v>
      </c>
      <c r="D639" s="63">
        <v>70</v>
      </c>
      <c r="E639" s="124">
        <v>5</v>
      </c>
      <c r="F639" s="63"/>
      <c r="G639" s="63"/>
      <c r="H639" s="64">
        <v>10</v>
      </c>
      <c r="I639" s="65">
        <v>10.199999999999999</v>
      </c>
      <c r="J639" s="65">
        <v>1273</v>
      </c>
      <c r="K639" s="65">
        <v>0.2671</v>
      </c>
      <c r="L639" s="66">
        <v>885000</v>
      </c>
      <c r="M639" s="67">
        <v>25300</v>
      </c>
      <c r="N639" s="67">
        <v>30800</v>
      </c>
      <c r="O639" s="68">
        <v>26.4</v>
      </c>
      <c r="P639" s="67">
        <v>885000</v>
      </c>
      <c r="Q639" s="67">
        <v>25300</v>
      </c>
      <c r="R639" s="67">
        <v>30800</v>
      </c>
      <c r="S639" s="65">
        <v>26.4</v>
      </c>
      <c r="T639" s="66">
        <v>1454000</v>
      </c>
      <c r="U639" s="120"/>
      <c r="V639" s="69">
        <v>1</v>
      </c>
      <c r="W639" s="70">
        <v>1</v>
      </c>
      <c r="X639" s="70">
        <v>1</v>
      </c>
      <c r="Y639" s="70">
        <v>1</v>
      </c>
      <c r="Z639" s="70">
        <v>1</v>
      </c>
      <c r="AA639" s="71">
        <v>1</v>
      </c>
      <c r="AB639" s="70">
        <v>1</v>
      </c>
      <c r="AC639" s="70">
        <v>1</v>
      </c>
      <c r="AD639" s="70">
        <v>1</v>
      </c>
      <c r="AE639" s="70">
        <v>1</v>
      </c>
      <c r="AF639" s="69">
        <v>1</v>
      </c>
      <c r="AG639" s="70">
        <v>1</v>
      </c>
      <c r="AH639" s="70">
        <v>1</v>
      </c>
      <c r="AI639" s="70">
        <v>1</v>
      </c>
      <c r="AJ639" s="70">
        <v>1</v>
      </c>
      <c r="AK639" s="78">
        <f t="shared" si="98"/>
        <v>209.81932443047918</v>
      </c>
      <c r="AL639" s="79"/>
      <c r="AM639" s="80"/>
      <c r="AN639" s="81"/>
      <c r="AO639" s="70" t="str">
        <f>IF(head!$F$82="S460","a0","a")</f>
        <v>a</v>
      </c>
      <c r="AP639" s="70">
        <f t="shared" si="99"/>
        <v>0.21</v>
      </c>
      <c r="AQ639" s="72">
        <f>IF(head!F$82="S235",235,IF(head!F$82="S275",275,IF(head!F$82="S355",355,IF(head!F$82="S420",420,460))))^0.5*head!$G$70*1000/(S639*3.1416*210000^0.5)</f>
        <v>4.957351505359938</v>
      </c>
      <c r="AR639" s="72">
        <f t="shared" si="100"/>
        <v>13.287188881910016</v>
      </c>
      <c r="AS639" s="72">
        <f t="shared" si="101"/>
        <v>3.9039679155212462E-2</v>
      </c>
      <c r="AT639" s="52">
        <f>IF(head!F$82="S235",235,IF(head!F$82="S275",275,IF(head!F$82="S355",355,IF(head!F$82="S420",420,460))))*AS639*J639/1000</f>
        <v>17.64261660542784</v>
      </c>
      <c r="AU639" s="192"/>
      <c r="AV639" s="52"/>
      <c r="AW639" s="52"/>
      <c r="AX639" s="105"/>
      <c r="AY639" s="52"/>
      <c r="AZ639" s="191">
        <v>0</v>
      </c>
      <c r="BA639" s="77" t="str">
        <f t="shared" si="102"/>
        <v>HF SHS 70 x 6,3</v>
      </c>
    </row>
    <row r="640" spans="1:53">
      <c r="A640" s="61" t="s">
        <v>751</v>
      </c>
      <c r="B640" s="62">
        <f t="shared" si="97"/>
        <v>20.708100206844367</v>
      </c>
      <c r="C640" s="63">
        <v>70</v>
      </c>
      <c r="D640" s="63">
        <v>70</v>
      </c>
      <c r="E640" s="124">
        <v>6.3</v>
      </c>
      <c r="F640" s="63"/>
      <c r="G640" s="63"/>
      <c r="H640" s="64">
        <v>12.3</v>
      </c>
      <c r="I640" s="65">
        <v>12.5</v>
      </c>
      <c r="J640" s="65">
        <v>1563</v>
      </c>
      <c r="K640" s="65">
        <v>0.26379999999999998</v>
      </c>
      <c r="L640" s="66">
        <v>1038000</v>
      </c>
      <c r="M640" s="67">
        <v>29700</v>
      </c>
      <c r="N640" s="67">
        <v>36900</v>
      </c>
      <c r="O640" s="68">
        <v>25.8</v>
      </c>
      <c r="P640" s="67">
        <v>1038000</v>
      </c>
      <c r="Q640" s="67">
        <v>29700</v>
      </c>
      <c r="R640" s="67">
        <v>36900</v>
      </c>
      <c r="S640" s="65">
        <v>25.8</v>
      </c>
      <c r="T640" s="66">
        <v>1746000</v>
      </c>
      <c r="U640" s="120"/>
      <c r="V640" s="69">
        <v>1</v>
      </c>
      <c r="W640" s="70">
        <v>1</v>
      </c>
      <c r="X640" s="70">
        <v>1</v>
      </c>
      <c r="Y640" s="70">
        <v>1</v>
      </c>
      <c r="Z640" s="70">
        <v>1</v>
      </c>
      <c r="AA640" s="71">
        <v>1</v>
      </c>
      <c r="AB640" s="70">
        <v>1</v>
      </c>
      <c r="AC640" s="70">
        <v>1</v>
      </c>
      <c r="AD640" s="70">
        <v>1</v>
      </c>
      <c r="AE640" s="70">
        <v>1</v>
      </c>
      <c r="AF640" s="69">
        <v>1</v>
      </c>
      <c r="AG640" s="70">
        <v>1</v>
      </c>
      <c r="AH640" s="70">
        <v>1</v>
      </c>
      <c r="AI640" s="70">
        <v>1</v>
      </c>
      <c r="AJ640" s="70">
        <v>1</v>
      </c>
      <c r="AK640" s="78">
        <f t="shared" si="98"/>
        <v>168.77799104286626</v>
      </c>
      <c r="AL640" s="79"/>
      <c r="AM640" s="80"/>
      <c r="AN640" s="81"/>
      <c r="AO640" s="70" t="str">
        <f>IF(head!$F$82="S460","a0","a")</f>
        <v>a</v>
      </c>
      <c r="AP640" s="70">
        <f t="shared" si="99"/>
        <v>0.21</v>
      </c>
      <c r="AQ640" s="72">
        <f>IF(head!F$82="S235",235,IF(head!F$82="S275",275,IF(head!F$82="S355",355,IF(head!F$82="S420",420,460))))^0.5*head!$G$70*1000/(S640*3.1416*210000^0.5)</f>
        <v>5.0726387496706336</v>
      </c>
      <c r="AR640" s="72">
        <f t="shared" si="100"/>
        <v>13.87745901104544</v>
      </c>
      <c r="AS640" s="72">
        <f t="shared" si="101"/>
        <v>3.7320970338450554E-2</v>
      </c>
      <c r="AT640" s="52">
        <f>IF(head!F$82="S235",235,IF(head!F$82="S275",275,IF(head!F$82="S355",355,IF(head!F$82="S420",420,460))))*AS640*J640/1000</f>
        <v>20.708100206844367</v>
      </c>
      <c r="AU640" s="192"/>
      <c r="AV640" s="52"/>
      <c r="AW640" s="52"/>
      <c r="AX640" s="105"/>
      <c r="AY640" s="52"/>
      <c r="AZ640" s="191">
        <v>0</v>
      </c>
      <c r="BA640" s="77" t="str">
        <f t="shared" si="102"/>
        <v>HF SHS 70 x 8</v>
      </c>
    </row>
    <row r="641" spans="1:53">
      <c r="A641" s="61" t="s">
        <v>752</v>
      </c>
      <c r="B641" s="62">
        <f t="shared" si="97"/>
        <v>23.852981666050542</v>
      </c>
      <c r="C641" s="63">
        <v>70</v>
      </c>
      <c r="D641" s="63">
        <v>70</v>
      </c>
      <c r="E641" s="124">
        <v>8</v>
      </c>
      <c r="F641" s="63"/>
      <c r="G641" s="63"/>
      <c r="H641" s="64">
        <v>15</v>
      </c>
      <c r="I641" s="65">
        <v>15.3</v>
      </c>
      <c r="J641" s="65">
        <v>1915</v>
      </c>
      <c r="K641" s="65">
        <v>0.25940000000000002</v>
      </c>
      <c r="L641" s="66">
        <v>1198000</v>
      </c>
      <c r="M641" s="67">
        <v>34200</v>
      </c>
      <c r="N641" s="67">
        <v>43800</v>
      </c>
      <c r="O641" s="68">
        <v>25</v>
      </c>
      <c r="P641" s="67">
        <v>1198000</v>
      </c>
      <c r="Q641" s="67">
        <v>34200</v>
      </c>
      <c r="R641" s="67">
        <v>43800</v>
      </c>
      <c r="S641" s="65">
        <v>25</v>
      </c>
      <c r="T641" s="66">
        <v>2073000</v>
      </c>
      <c r="U641" s="120"/>
      <c r="V641" s="69">
        <v>1</v>
      </c>
      <c r="W641" s="70">
        <v>1</v>
      </c>
      <c r="X641" s="70">
        <v>1</v>
      </c>
      <c r="Y641" s="70">
        <v>1</v>
      </c>
      <c r="Z641" s="70">
        <v>1</v>
      </c>
      <c r="AA641" s="71">
        <v>1</v>
      </c>
      <c r="AB641" s="70">
        <v>1</v>
      </c>
      <c r="AC641" s="70">
        <v>1</v>
      </c>
      <c r="AD641" s="70">
        <v>1</v>
      </c>
      <c r="AE641" s="70">
        <v>1</v>
      </c>
      <c r="AF641" s="69">
        <v>1</v>
      </c>
      <c r="AG641" s="70">
        <v>1</v>
      </c>
      <c r="AH641" s="70">
        <v>1</v>
      </c>
      <c r="AI641" s="70">
        <v>1</v>
      </c>
      <c r="AJ641" s="70">
        <v>1</v>
      </c>
      <c r="AK641" s="78">
        <f t="shared" si="98"/>
        <v>135.45691906005223</v>
      </c>
      <c r="AL641" s="79"/>
      <c r="AM641" s="80"/>
      <c r="AN641" s="81"/>
      <c r="AO641" s="70" t="str">
        <f>IF(head!$F$82="S460","a0","a")</f>
        <v>a</v>
      </c>
      <c r="AP641" s="70">
        <f t="shared" si="99"/>
        <v>0.21</v>
      </c>
      <c r="AQ641" s="72">
        <f>IF(head!F$82="S235",235,IF(head!F$82="S275",275,IF(head!F$82="S355",355,IF(head!F$82="S420",420,460))))^0.5*head!$G$70*1000/(S641*3.1416*210000^0.5)</f>
        <v>5.2349631896600952</v>
      </c>
      <c r="AR641" s="72">
        <f t="shared" si="100"/>
        <v>14.73109093346241</v>
      </c>
      <c r="AS641" s="72">
        <f t="shared" si="101"/>
        <v>3.5086943943000833E-2</v>
      </c>
      <c r="AT641" s="52">
        <f>IF(head!F$82="S235",235,IF(head!F$82="S275",275,IF(head!F$82="S355",355,IF(head!F$82="S420",420,460))))*AS641*J641/1000</f>
        <v>23.852981666050542</v>
      </c>
      <c r="AU641" s="192"/>
      <c r="AV641" s="52"/>
      <c r="AW641" s="52"/>
      <c r="AX641" s="105"/>
      <c r="AY641" s="52"/>
      <c r="AZ641" s="191">
        <v>0</v>
      </c>
      <c r="BA641" s="77" t="str">
        <f t="shared" si="102"/>
        <v>HF SHS 80 x 3,6</v>
      </c>
    </row>
    <row r="642" spans="1:53">
      <c r="A642" s="61" t="s">
        <v>753</v>
      </c>
      <c r="B642" s="62">
        <f t="shared" si="97"/>
        <v>20.729383099531081</v>
      </c>
      <c r="C642" s="63">
        <v>80</v>
      </c>
      <c r="D642" s="63">
        <v>80</v>
      </c>
      <c r="E642" s="124">
        <v>3.6</v>
      </c>
      <c r="F642" s="63"/>
      <c r="G642" s="63"/>
      <c r="H642" s="64">
        <v>8.5</v>
      </c>
      <c r="I642" s="65">
        <v>8.6999999999999993</v>
      </c>
      <c r="J642" s="65">
        <v>1086</v>
      </c>
      <c r="K642" s="65">
        <v>0.31069999999999998</v>
      </c>
      <c r="L642" s="66">
        <v>1049000</v>
      </c>
      <c r="M642" s="67">
        <v>26200</v>
      </c>
      <c r="N642" s="67">
        <v>31000</v>
      </c>
      <c r="O642" s="68">
        <v>31.1</v>
      </c>
      <c r="P642" s="67">
        <v>1049000</v>
      </c>
      <c r="Q642" s="67">
        <v>26200</v>
      </c>
      <c r="R642" s="67">
        <v>31000</v>
      </c>
      <c r="S642" s="65">
        <v>31.1</v>
      </c>
      <c r="T642" s="66">
        <v>1667000</v>
      </c>
      <c r="U642" s="120"/>
      <c r="V642" s="69">
        <v>1</v>
      </c>
      <c r="W642" s="70">
        <v>1</v>
      </c>
      <c r="X642" s="70">
        <v>1</v>
      </c>
      <c r="Y642" s="70">
        <v>1</v>
      </c>
      <c r="Z642" s="70">
        <v>1</v>
      </c>
      <c r="AA642" s="71">
        <v>1</v>
      </c>
      <c r="AB642" s="70">
        <v>1</v>
      </c>
      <c r="AC642" s="70">
        <v>1</v>
      </c>
      <c r="AD642" s="70">
        <v>1</v>
      </c>
      <c r="AE642" s="70">
        <v>1</v>
      </c>
      <c r="AF642" s="69">
        <v>1</v>
      </c>
      <c r="AG642" s="70">
        <v>1</v>
      </c>
      <c r="AH642" s="70">
        <v>1</v>
      </c>
      <c r="AI642" s="70">
        <v>1</v>
      </c>
      <c r="AJ642" s="70">
        <v>1</v>
      </c>
      <c r="AK642" s="78">
        <f t="shared" si="98"/>
        <v>286.09576427255985</v>
      </c>
      <c r="AL642" s="79"/>
      <c r="AM642" s="80"/>
      <c r="AN642" s="81"/>
      <c r="AO642" s="70" t="str">
        <f>IF(head!$F$82="S460","a0","a")</f>
        <v>a</v>
      </c>
      <c r="AP642" s="70">
        <f t="shared" si="99"/>
        <v>0.21</v>
      </c>
      <c r="AQ642" s="72">
        <f>IF(head!F$82="S235",235,IF(head!F$82="S275",275,IF(head!F$82="S355",355,IF(head!F$82="S420",420,460))))^0.5*head!$G$70*1000/(S642*3.1416*210000^0.5)</f>
        <v>4.2081697666077931</v>
      </c>
      <c r="AR642" s="72">
        <f t="shared" si="100"/>
        <v>9.7752042177897636</v>
      </c>
      <c r="AS642" s="72">
        <f t="shared" si="101"/>
        <v>5.3768534483778385E-2</v>
      </c>
      <c r="AT642" s="52">
        <f>IF(head!F$82="S235",235,IF(head!F$82="S275",275,IF(head!F$82="S355",355,IF(head!F$82="S420",420,460))))*AS642*J642/1000</f>
        <v>20.729383099531081</v>
      </c>
      <c r="AU642" s="192"/>
      <c r="AV642" s="52"/>
      <c r="AW642" s="52"/>
      <c r="AX642" s="105"/>
      <c r="AY642" s="52"/>
      <c r="AZ642" s="191">
        <v>0</v>
      </c>
      <c r="BA642" s="77" t="str">
        <f t="shared" si="102"/>
        <v>HF SHS 80 x 4</v>
      </c>
    </row>
    <row r="643" spans="1:53">
      <c r="A643" s="61" t="s">
        <v>190</v>
      </c>
      <c r="B643" s="62">
        <f t="shared" si="97"/>
        <v>22.600266038884211</v>
      </c>
      <c r="C643" s="63">
        <v>80</v>
      </c>
      <c r="D643" s="63">
        <v>80</v>
      </c>
      <c r="E643" s="124">
        <v>4</v>
      </c>
      <c r="F643" s="63"/>
      <c r="G643" s="63"/>
      <c r="H643" s="64">
        <v>9.4</v>
      </c>
      <c r="I643" s="65">
        <v>9.6</v>
      </c>
      <c r="J643" s="65">
        <v>1199</v>
      </c>
      <c r="K643" s="65">
        <v>0.30969999999999998</v>
      </c>
      <c r="L643" s="66">
        <v>1145000</v>
      </c>
      <c r="M643" s="67">
        <v>28600</v>
      </c>
      <c r="N643" s="67">
        <v>34000</v>
      </c>
      <c r="O643" s="68">
        <v>30.9</v>
      </c>
      <c r="P643" s="67">
        <v>1145000</v>
      </c>
      <c r="Q643" s="67">
        <v>28600</v>
      </c>
      <c r="R643" s="67">
        <v>34000</v>
      </c>
      <c r="S643" s="65">
        <v>30.9</v>
      </c>
      <c r="T643" s="66">
        <v>1830000</v>
      </c>
      <c r="U643" s="120"/>
      <c r="V643" s="69">
        <v>1</v>
      </c>
      <c r="W643" s="70">
        <v>1</v>
      </c>
      <c r="X643" s="70">
        <v>1</v>
      </c>
      <c r="Y643" s="70">
        <v>1</v>
      </c>
      <c r="Z643" s="70">
        <v>1</v>
      </c>
      <c r="AA643" s="71">
        <v>1</v>
      </c>
      <c r="AB643" s="70">
        <v>1</v>
      </c>
      <c r="AC643" s="70">
        <v>1</v>
      </c>
      <c r="AD643" s="70">
        <v>1</v>
      </c>
      <c r="AE643" s="70">
        <v>1</v>
      </c>
      <c r="AF643" s="69">
        <v>1</v>
      </c>
      <c r="AG643" s="70">
        <v>1</v>
      </c>
      <c r="AH643" s="70">
        <v>1</v>
      </c>
      <c r="AI643" s="70">
        <v>1</v>
      </c>
      <c r="AJ643" s="70">
        <v>1</v>
      </c>
      <c r="AK643" s="78">
        <f t="shared" si="98"/>
        <v>258.29858215179314</v>
      </c>
      <c r="AL643" s="79"/>
      <c r="AM643" s="80"/>
      <c r="AN643" s="81"/>
      <c r="AO643" s="70" t="str">
        <f>IF(head!$F$82="S460","a0","a")</f>
        <v>a</v>
      </c>
      <c r="AP643" s="70">
        <f t="shared" si="99"/>
        <v>0.21</v>
      </c>
      <c r="AQ643" s="72">
        <f>IF(head!F$82="S235",235,IF(head!F$82="S275",275,IF(head!F$82="S355",355,IF(head!F$82="S420",420,460))))^0.5*head!$G$70*1000/(S643*3.1416*210000^0.5)</f>
        <v>4.2354071113754808</v>
      </c>
      <c r="AR643" s="72">
        <f t="shared" si="100"/>
        <v>9.8930544462394217</v>
      </c>
      <c r="AS643" s="72">
        <f t="shared" si="101"/>
        <v>5.309651479257177E-2</v>
      </c>
      <c r="AT643" s="52">
        <f>IF(head!F$82="S235",235,IF(head!F$82="S275",275,IF(head!F$82="S355",355,IF(head!F$82="S420",420,460))))*AS643*J643/1000</f>
        <v>22.600266038884211</v>
      </c>
      <c r="AU643" s="192"/>
      <c r="AV643" s="52"/>
      <c r="AW643" s="52"/>
      <c r="AX643" s="105"/>
      <c r="AY643" s="52"/>
      <c r="AZ643" s="191">
        <v>0</v>
      </c>
      <c r="BA643" s="77" t="str">
        <f t="shared" si="102"/>
        <v>HF SHS 80 x 5</v>
      </c>
    </row>
    <row r="644" spans="1:53">
      <c r="A644" s="61" t="s">
        <v>754</v>
      </c>
      <c r="B644" s="62">
        <f t="shared" si="97"/>
        <v>27.068403444276939</v>
      </c>
      <c r="C644" s="63">
        <v>80</v>
      </c>
      <c r="D644" s="63">
        <v>80</v>
      </c>
      <c r="E644" s="124">
        <v>5</v>
      </c>
      <c r="F644" s="63"/>
      <c r="G644" s="63"/>
      <c r="H644" s="64">
        <v>11.6</v>
      </c>
      <c r="I644" s="65">
        <v>11.8</v>
      </c>
      <c r="J644" s="65">
        <v>1473</v>
      </c>
      <c r="K644" s="65">
        <v>0.30709999999999998</v>
      </c>
      <c r="L644" s="66">
        <v>1366000</v>
      </c>
      <c r="M644" s="67">
        <v>34200</v>
      </c>
      <c r="N644" s="67">
        <v>41100</v>
      </c>
      <c r="O644" s="68">
        <v>30.5</v>
      </c>
      <c r="P644" s="67">
        <v>1366000</v>
      </c>
      <c r="Q644" s="67">
        <v>34200</v>
      </c>
      <c r="R644" s="67">
        <v>41100</v>
      </c>
      <c r="S644" s="65">
        <v>30.5</v>
      </c>
      <c r="T644" s="66">
        <v>2219000</v>
      </c>
      <c r="U644" s="120"/>
      <c r="V644" s="69">
        <v>1</v>
      </c>
      <c r="W644" s="70">
        <v>1</v>
      </c>
      <c r="X644" s="70">
        <v>1</v>
      </c>
      <c r="Y644" s="70">
        <v>1</v>
      </c>
      <c r="Z644" s="70">
        <v>1</v>
      </c>
      <c r="AA644" s="71">
        <v>1</v>
      </c>
      <c r="AB644" s="70">
        <v>1</v>
      </c>
      <c r="AC644" s="70">
        <v>1</v>
      </c>
      <c r="AD644" s="70">
        <v>1</v>
      </c>
      <c r="AE644" s="70">
        <v>1</v>
      </c>
      <c r="AF644" s="69">
        <v>1</v>
      </c>
      <c r="AG644" s="70">
        <v>1</v>
      </c>
      <c r="AH644" s="70">
        <v>1</v>
      </c>
      <c r="AI644" s="70">
        <v>1</v>
      </c>
      <c r="AJ644" s="70">
        <v>1</v>
      </c>
      <c r="AK644" s="78">
        <f t="shared" si="98"/>
        <v>208.48608282416836</v>
      </c>
      <c r="AL644" s="79"/>
      <c r="AM644" s="80"/>
      <c r="AN644" s="81"/>
      <c r="AO644" s="70" t="str">
        <f>IF(head!$F$82="S460","a0","a")</f>
        <v>a</v>
      </c>
      <c r="AP644" s="70">
        <f t="shared" si="99"/>
        <v>0.21</v>
      </c>
      <c r="AQ644" s="72">
        <f>IF(head!F$82="S235",235,IF(head!F$82="S275",275,IF(head!F$82="S355",355,IF(head!F$82="S420",420,460))))^0.5*head!$G$70*1000/(S644*3.1416*210000^0.5)</f>
        <v>4.2909534341476183</v>
      </c>
      <c r="AR644" s="72">
        <f t="shared" si="100"/>
        <v>10.135690797597119</v>
      </c>
      <c r="AS644" s="72">
        <f t="shared" si="101"/>
        <v>5.1764442489270604E-2</v>
      </c>
      <c r="AT644" s="52">
        <f>IF(head!F$82="S235",235,IF(head!F$82="S275",275,IF(head!F$82="S355",355,IF(head!F$82="S420",420,460))))*AS644*J644/1000</f>
        <v>27.068403444276939</v>
      </c>
      <c r="AU644" s="192"/>
      <c r="AV644" s="52"/>
      <c r="AW644" s="52"/>
      <c r="AX644" s="105"/>
      <c r="AY644" s="52"/>
      <c r="AZ644" s="191">
        <v>0</v>
      </c>
      <c r="BA644" s="77" t="str">
        <f t="shared" si="102"/>
        <v>HF SHS 80 x 6,3</v>
      </c>
    </row>
    <row r="645" spans="1:53">
      <c r="A645" s="61" t="s">
        <v>755</v>
      </c>
      <c r="B645" s="62">
        <f t="shared" si="97"/>
        <v>32.085018819900867</v>
      </c>
      <c r="C645" s="63">
        <v>80</v>
      </c>
      <c r="D645" s="63">
        <v>80</v>
      </c>
      <c r="E645" s="124">
        <v>6.3</v>
      </c>
      <c r="F645" s="63"/>
      <c r="G645" s="63"/>
      <c r="H645" s="64">
        <v>14.2</v>
      </c>
      <c r="I645" s="65">
        <v>14.5</v>
      </c>
      <c r="J645" s="65">
        <v>1815</v>
      </c>
      <c r="K645" s="65">
        <v>0.30380000000000001</v>
      </c>
      <c r="L645" s="66">
        <v>1619000</v>
      </c>
      <c r="M645" s="67">
        <v>40500</v>
      </c>
      <c r="N645" s="67">
        <v>49700</v>
      </c>
      <c r="O645" s="68">
        <v>29.9</v>
      </c>
      <c r="P645" s="67">
        <v>1619000</v>
      </c>
      <c r="Q645" s="67">
        <v>40500</v>
      </c>
      <c r="R645" s="67">
        <v>49700</v>
      </c>
      <c r="S645" s="65">
        <v>29.9</v>
      </c>
      <c r="T645" s="66">
        <v>2684000</v>
      </c>
      <c r="U645" s="120"/>
      <c r="V645" s="69">
        <v>1</v>
      </c>
      <c r="W645" s="70">
        <v>1</v>
      </c>
      <c r="X645" s="70">
        <v>1</v>
      </c>
      <c r="Y645" s="70">
        <v>1</v>
      </c>
      <c r="Z645" s="70">
        <v>1</v>
      </c>
      <c r="AA645" s="71">
        <v>1</v>
      </c>
      <c r="AB645" s="70">
        <v>1</v>
      </c>
      <c r="AC645" s="70">
        <v>1</v>
      </c>
      <c r="AD645" s="70">
        <v>1</v>
      </c>
      <c r="AE645" s="70">
        <v>1</v>
      </c>
      <c r="AF645" s="69">
        <v>1</v>
      </c>
      <c r="AG645" s="70">
        <v>1</v>
      </c>
      <c r="AH645" s="70">
        <v>1</v>
      </c>
      <c r="AI645" s="70">
        <v>1</v>
      </c>
      <c r="AJ645" s="70">
        <v>1</v>
      </c>
      <c r="AK645" s="78">
        <f t="shared" si="98"/>
        <v>167.38292011019283</v>
      </c>
      <c r="AL645" s="79"/>
      <c r="AM645" s="80"/>
      <c r="AN645" s="81"/>
      <c r="AO645" s="70" t="str">
        <f>IF(head!$F$82="S460","a0","a")</f>
        <v>a</v>
      </c>
      <c r="AP645" s="70">
        <f t="shared" si="99"/>
        <v>0.21</v>
      </c>
      <c r="AQ645" s="72">
        <f>IF(head!F$82="S235",235,IF(head!F$82="S275",275,IF(head!F$82="S355",355,IF(head!F$82="S420",420,460))))^0.5*head!$G$70*1000/(S645*3.1416*210000^0.5)</f>
        <v>4.3770595231271692</v>
      </c>
      <c r="AR645" s="72">
        <f t="shared" si="100"/>
        <v>10.517916284427473</v>
      </c>
      <c r="AS645" s="72">
        <f t="shared" si="101"/>
        <v>4.9796327660576366E-2</v>
      </c>
      <c r="AT645" s="52">
        <f>IF(head!F$82="S235",235,IF(head!F$82="S275",275,IF(head!F$82="S355",355,IF(head!F$82="S420",420,460))))*AS645*J645/1000</f>
        <v>32.085018819900867</v>
      </c>
      <c r="AU645" s="192"/>
      <c r="AV645" s="52"/>
      <c r="AW645" s="52"/>
      <c r="AX645" s="105"/>
      <c r="AY645" s="52"/>
      <c r="AZ645" s="191">
        <v>0</v>
      </c>
      <c r="BA645" s="77" t="str">
        <f t="shared" si="102"/>
        <v>HF SHS 80 x 8</v>
      </c>
    </row>
    <row r="646" spans="1:53">
      <c r="A646" s="61" t="s">
        <v>756</v>
      </c>
      <c r="B646" s="62">
        <f t="shared" si="97"/>
        <v>37.472172158788261</v>
      </c>
      <c r="C646" s="63">
        <v>80</v>
      </c>
      <c r="D646" s="63">
        <v>80</v>
      </c>
      <c r="E646" s="124">
        <v>8</v>
      </c>
      <c r="F646" s="63"/>
      <c r="G646" s="63"/>
      <c r="H646" s="64">
        <v>17.5</v>
      </c>
      <c r="I646" s="65">
        <v>17.899999999999999</v>
      </c>
      <c r="J646" s="65">
        <v>2235</v>
      </c>
      <c r="K646" s="65">
        <v>0.2994</v>
      </c>
      <c r="L646" s="66">
        <v>1893000</v>
      </c>
      <c r="M646" s="67">
        <v>47300</v>
      </c>
      <c r="N646" s="67">
        <v>59500</v>
      </c>
      <c r="O646" s="68">
        <v>29.1</v>
      </c>
      <c r="P646" s="67">
        <v>1893000</v>
      </c>
      <c r="Q646" s="67">
        <v>47300</v>
      </c>
      <c r="R646" s="67">
        <v>59500</v>
      </c>
      <c r="S646" s="65">
        <v>29.1</v>
      </c>
      <c r="T646" s="66">
        <v>3220000</v>
      </c>
      <c r="U646" s="120"/>
      <c r="V646" s="69">
        <v>1</v>
      </c>
      <c r="W646" s="70">
        <v>1</v>
      </c>
      <c r="X646" s="70">
        <v>1</v>
      </c>
      <c r="Y646" s="70">
        <v>1</v>
      </c>
      <c r="Z646" s="70">
        <v>1</v>
      </c>
      <c r="AA646" s="71">
        <v>1</v>
      </c>
      <c r="AB646" s="70">
        <v>1</v>
      </c>
      <c r="AC646" s="70">
        <v>1</v>
      </c>
      <c r="AD646" s="70">
        <v>1</v>
      </c>
      <c r="AE646" s="70">
        <v>1</v>
      </c>
      <c r="AF646" s="69">
        <v>1</v>
      </c>
      <c r="AG646" s="70">
        <v>1</v>
      </c>
      <c r="AH646" s="70">
        <v>1</v>
      </c>
      <c r="AI646" s="70">
        <v>1</v>
      </c>
      <c r="AJ646" s="70">
        <v>1</v>
      </c>
      <c r="AK646" s="78">
        <f t="shared" si="98"/>
        <v>133.95973154362417</v>
      </c>
      <c r="AL646" s="79"/>
      <c r="AM646" s="80"/>
      <c r="AN646" s="81"/>
      <c r="AO646" s="70" t="str">
        <f>IF(head!$F$82="S460","a0","a")</f>
        <v>a</v>
      </c>
      <c r="AP646" s="70">
        <f t="shared" si="99"/>
        <v>0.21</v>
      </c>
      <c r="AQ646" s="72">
        <f>IF(head!F$82="S235",235,IF(head!F$82="S275",275,IF(head!F$82="S355",355,IF(head!F$82="S420",420,460))))^0.5*head!$G$70*1000/(S646*3.1416*210000^0.5)</f>
        <v>4.4973910564090156</v>
      </c>
      <c r="AR646" s="72">
        <f t="shared" si="100"/>
        <v>11.064489218056847</v>
      </c>
      <c r="AS646" s="72">
        <f t="shared" si="101"/>
        <v>4.7228373392303326E-2</v>
      </c>
      <c r="AT646" s="52">
        <f>IF(head!F$82="S235",235,IF(head!F$82="S275",275,IF(head!F$82="S355",355,IF(head!F$82="S420",420,460))))*AS646*J646/1000</f>
        <v>37.472172158788261</v>
      </c>
      <c r="AU646" s="192"/>
      <c r="AV646" s="52"/>
      <c r="AW646" s="52"/>
      <c r="AX646" s="105"/>
      <c r="AY646" s="52"/>
      <c r="AZ646" s="191">
        <v>0</v>
      </c>
      <c r="BA646" s="77" t="str">
        <f t="shared" si="102"/>
        <v>HF SHS 80 x 8,8</v>
      </c>
    </row>
    <row r="647" spans="1:53">
      <c r="A647" s="61" t="s">
        <v>757</v>
      </c>
      <c r="B647" s="62">
        <f t="shared" si="97"/>
        <v>39.540555817058937</v>
      </c>
      <c r="C647" s="63">
        <v>80</v>
      </c>
      <c r="D647" s="63">
        <v>80</v>
      </c>
      <c r="E647" s="124">
        <v>8.8000000000000007</v>
      </c>
      <c r="F647" s="63"/>
      <c r="G647" s="63"/>
      <c r="H647" s="64">
        <v>19</v>
      </c>
      <c r="I647" s="65">
        <v>19.399999999999999</v>
      </c>
      <c r="J647" s="65">
        <v>2423</v>
      </c>
      <c r="K647" s="65">
        <v>0.29730000000000001</v>
      </c>
      <c r="L647" s="66">
        <v>2001000</v>
      </c>
      <c r="M647" s="67">
        <v>50000</v>
      </c>
      <c r="N647" s="67">
        <v>63700</v>
      </c>
      <c r="O647" s="68">
        <v>28.7</v>
      </c>
      <c r="P647" s="67">
        <v>2001000</v>
      </c>
      <c r="Q647" s="67">
        <v>50000</v>
      </c>
      <c r="R647" s="67">
        <v>63700</v>
      </c>
      <c r="S647" s="65">
        <v>28.7</v>
      </c>
      <c r="T647" s="66">
        <v>3445000</v>
      </c>
      <c r="U647" s="120"/>
      <c r="V647" s="69">
        <v>1</v>
      </c>
      <c r="W647" s="70">
        <v>1</v>
      </c>
      <c r="X647" s="70">
        <v>1</v>
      </c>
      <c r="Y647" s="70">
        <v>1</v>
      </c>
      <c r="Z647" s="70">
        <v>1</v>
      </c>
      <c r="AA647" s="71">
        <v>1</v>
      </c>
      <c r="AB647" s="70">
        <v>1</v>
      </c>
      <c r="AC647" s="70">
        <v>1</v>
      </c>
      <c r="AD647" s="70">
        <v>1</v>
      </c>
      <c r="AE647" s="70">
        <v>1</v>
      </c>
      <c r="AF647" s="69">
        <v>1</v>
      </c>
      <c r="AG647" s="70">
        <v>1</v>
      </c>
      <c r="AH647" s="70">
        <v>1</v>
      </c>
      <c r="AI647" s="70">
        <v>1</v>
      </c>
      <c r="AJ647" s="70">
        <v>1</v>
      </c>
      <c r="AK647" s="78">
        <f t="shared" si="98"/>
        <v>122.69913330581925</v>
      </c>
      <c r="AL647" s="79"/>
      <c r="AM647" s="80"/>
      <c r="AN647" s="81"/>
      <c r="AO647" s="70" t="str">
        <f>IF(head!$F$82="S460","a0","a")</f>
        <v>a</v>
      </c>
      <c r="AP647" s="70">
        <f t="shared" si="99"/>
        <v>0.21</v>
      </c>
      <c r="AQ647" s="72">
        <f>IF(head!F$82="S235",235,IF(head!F$82="S275",275,IF(head!F$82="S355",355,IF(head!F$82="S420",420,460))))^0.5*head!$G$70*1000/(S647*3.1416*210000^0.5)</f>
        <v>4.5600724648607098</v>
      </c>
      <c r="AR647" s="72">
        <f t="shared" si="100"/>
        <v>11.35493805120079</v>
      </c>
      <c r="AS647" s="72">
        <f t="shared" si="101"/>
        <v>4.5968570933552208E-2</v>
      </c>
      <c r="AT647" s="52">
        <f>IF(head!F$82="S235",235,IF(head!F$82="S275",275,IF(head!F$82="S355",355,IF(head!F$82="S420",420,460))))*AS647*J647/1000</f>
        <v>39.540555817058937</v>
      </c>
      <c r="AU647" s="192"/>
      <c r="AV647" s="52"/>
      <c r="AW647" s="52"/>
      <c r="AX647" s="105"/>
      <c r="AY647" s="52"/>
      <c r="AZ647" s="191">
        <v>0</v>
      </c>
      <c r="BA647" s="77" t="str">
        <f t="shared" si="102"/>
        <v>HF SHS 90 x 4</v>
      </c>
    </row>
    <row r="648" spans="1:53">
      <c r="A648" s="61" t="s">
        <v>191</v>
      </c>
      <c r="B648" s="62">
        <f t="shared" si="97"/>
        <v>32.643413293315113</v>
      </c>
      <c r="C648" s="63">
        <v>90</v>
      </c>
      <c r="D648" s="63">
        <v>90</v>
      </c>
      <c r="E648" s="124">
        <v>4</v>
      </c>
      <c r="F648" s="63"/>
      <c r="G648" s="63"/>
      <c r="H648" s="64">
        <v>10.7</v>
      </c>
      <c r="I648" s="65">
        <v>10.9</v>
      </c>
      <c r="J648" s="65">
        <v>1359</v>
      </c>
      <c r="K648" s="65">
        <v>0.34970000000000001</v>
      </c>
      <c r="L648" s="66">
        <v>1663000</v>
      </c>
      <c r="M648" s="67">
        <v>37000</v>
      </c>
      <c r="N648" s="67">
        <v>43600</v>
      </c>
      <c r="O648" s="68">
        <v>35</v>
      </c>
      <c r="P648" s="67">
        <v>1663000</v>
      </c>
      <c r="Q648" s="67">
        <v>37000</v>
      </c>
      <c r="R648" s="67">
        <v>43600</v>
      </c>
      <c r="S648" s="65">
        <v>35</v>
      </c>
      <c r="T648" s="66">
        <v>2640000</v>
      </c>
      <c r="U648" s="120"/>
      <c r="V648" s="69">
        <v>1</v>
      </c>
      <c r="W648" s="70">
        <v>1</v>
      </c>
      <c r="X648" s="70">
        <v>1</v>
      </c>
      <c r="Y648" s="70">
        <v>1</v>
      </c>
      <c r="Z648" s="70">
        <v>1</v>
      </c>
      <c r="AA648" s="71">
        <v>1</v>
      </c>
      <c r="AB648" s="70">
        <v>1</v>
      </c>
      <c r="AC648" s="70">
        <v>1</v>
      </c>
      <c r="AD648" s="70">
        <v>1</v>
      </c>
      <c r="AE648" s="70">
        <v>1</v>
      </c>
      <c r="AF648" s="69">
        <v>1</v>
      </c>
      <c r="AG648" s="70">
        <v>1</v>
      </c>
      <c r="AH648" s="70">
        <v>1</v>
      </c>
      <c r="AI648" s="70">
        <v>1</v>
      </c>
      <c r="AJ648" s="70">
        <v>1</v>
      </c>
      <c r="AK648" s="78">
        <f t="shared" si="98"/>
        <v>257.32155997056657</v>
      </c>
      <c r="AL648" s="79"/>
      <c r="AM648" s="80"/>
      <c r="AN648" s="81"/>
      <c r="AO648" s="70" t="str">
        <f>IF(head!$F$82="S460","a0","a")</f>
        <v>a</v>
      </c>
      <c r="AP648" s="70">
        <f t="shared" si="99"/>
        <v>0.21</v>
      </c>
      <c r="AQ648" s="72">
        <f>IF(head!F$82="S235",235,IF(head!F$82="S275",275,IF(head!F$82="S355",355,IF(head!F$82="S420",420,460))))^0.5*head!$G$70*1000/(S648*3.1416*210000^0.5)</f>
        <v>3.7392594211857815</v>
      </c>
      <c r="AR648" s="72">
        <f t="shared" si="100"/>
        <v>7.8626527486878199</v>
      </c>
      <c r="AS648" s="72">
        <f t="shared" si="101"/>
        <v>6.7662455395568644E-2</v>
      </c>
      <c r="AT648" s="52">
        <f>IF(head!F$82="S235",235,IF(head!F$82="S275",275,IF(head!F$82="S355",355,IF(head!F$82="S420",420,460))))*AS648*J648/1000</f>
        <v>32.643413293315113</v>
      </c>
      <c r="AU648" s="192"/>
      <c r="AV648" s="52"/>
      <c r="AW648" s="52"/>
      <c r="AX648" s="105"/>
      <c r="AY648" s="52"/>
      <c r="AZ648" s="191">
        <v>0</v>
      </c>
      <c r="BA648" s="77" t="str">
        <f t="shared" si="102"/>
        <v>HF SHS 90 x 5</v>
      </c>
    </row>
    <row r="649" spans="1:53">
      <c r="A649" s="61" t="s">
        <v>758</v>
      </c>
      <c r="B649" s="62">
        <f t="shared" si="97"/>
        <v>39.078369460656525</v>
      </c>
      <c r="C649" s="63">
        <v>90</v>
      </c>
      <c r="D649" s="63">
        <v>90</v>
      </c>
      <c r="E649" s="124">
        <v>5</v>
      </c>
      <c r="F649" s="63"/>
      <c r="G649" s="63"/>
      <c r="H649" s="64">
        <v>13.1</v>
      </c>
      <c r="I649" s="65">
        <v>13.4</v>
      </c>
      <c r="J649" s="65">
        <v>1673</v>
      </c>
      <c r="K649" s="65">
        <v>0.34710000000000002</v>
      </c>
      <c r="L649" s="66">
        <v>1996000</v>
      </c>
      <c r="M649" s="67">
        <v>44400</v>
      </c>
      <c r="N649" s="67">
        <v>53000</v>
      </c>
      <c r="O649" s="68">
        <v>34.5</v>
      </c>
      <c r="P649" s="67">
        <v>1996000</v>
      </c>
      <c r="Q649" s="67">
        <v>44400</v>
      </c>
      <c r="R649" s="67">
        <v>53000</v>
      </c>
      <c r="S649" s="65">
        <v>34.5</v>
      </c>
      <c r="T649" s="66">
        <v>3214000</v>
      </c>
      <c r="U649" s="120"/>
      <c r="V649" s="69">
        <v>1</v>
      </c>
      <c r="W649" s="70">
        <v>1</v>
      </c>
      <c r="X649" s="70">
        <v>1</v>
      </c>
      <c r="Y649" s="70">
        <v>1</v>
      </c>
      <c r="Z649" s="70">
        <v>1</v>
      </c>
      <c r="AA649" s="71">
        <v>1</v>
      </c>
      <c r="AB649" s="70">
        <v>1</v>
      </c>
      <c r="AC649" s="70">
        <v>1</v>
      </c>
      <c r="AD649" s="70">
        <v>1</v>
      </c>
      <c r="AE649" s="70">
        <v>1</v>
      </c>
      <c r="AF649" s="69">
        <v>1</v>
      </c>
      <c r="AG649" s="70">
        <v>1</v>
      </c>
      <c r="AH649" s="70">
        <v>1</v>
      </c>
      <c r="AI649" s="70">
        <v>1</v>
      </c>
      <c r="AJ649" s="70">
        <v>1</v>
      </c>
      <c r="AK649" s="78">
        <f t="shared" si="98"/>
        <v>207.47160789001796</v>
      </c>
      <c r="AL649" s="79"/>
      <c r="AM649" s="80"/>
      <c r="AN649" s="81"/>
      <c r="AO649" s="70" t="str">
        <f>IF(head!$F$82="S460","a0","a")</f>
        <v>a</v>
      </c>
      <c r="AP649" s="70">
        <f t="shared" si="99"/>
        <v>0.21</v>
      </c>
      <c r="AQ649" s="72">
        <f>IF(head!F$82="S235",235,IF(head!F$82="S275",275,IF(head!F$82="S355",355,IF(head!F$82="S420",420,460))))^0.5*head!$G$70*1000/(S649*3.1416*210000^0.5)</f>
        <v>3.7934515867102134</v>
      </c>
      <c r="AR649" s="72">
        <f t="shared" si="100"/>
        <v>8.0724498869616905</v>
      </c>
      <c r="AS649" s="72">
        <f t="shared" si="101"/>
        <v>6.5797916302259632E-2</v>
      </c>
      <c r="AT649" s="52">
        <f>IF(head!F$82="S235",235,IF(head!F$82="S275",275,IF(head!F$82="S355",355,IF(head!F$82="S420",420,460))))*AS649*J649/1000</f>
        <v>39.078369460656525</v>
      </c>
      <c r="AU649" s="192"/>
      <c r="AV649" s="52"/>
      <c r="AW649" s="52"/>
      <c r="AX649" s="105"/>
      <c r="AY649" s="52"/>
      <c r="AZ649" s="191">
        <v>0</v>
      </c>
      <c r="BA649" s="77" t="str">
        <f t="shared" si="102"/>
        <v>HF SHS 90 x 6,3</v>
      </c>
    </row>
    <row r="650" spans="1:53">
      <c r="A650" s="61" t="s">
        <v>759</v>
      </c>
      <c r="B650" s="62">
        <f t="shared" si="97"/>
        <v>46.93120495797843</v>
      </c>
      <c r="C650" s="63">
        <v>90</v>
      </c>
      <c r="D650" s="63">
        <v>90</v>
      </c>
      <c r="E650" s="124">
        <v>6.3</v>
      </c>
      <c r="F650" s="63"/>
      <c r="G650" s="63"/>
      <c r="H650" s="64">
        <v>16.2</v>
      </c>
      <c r="I650" s="65">
        <v>16.5</v>
      </c>
      <c r="J650" s="65">
        <v>2067</v>
      </c>
      <c r="K650" s="65">
        <v>0.34379999999999999</v>
      </c>
      <c r="L650" s="66">
        <v>2383000</v>
      </c>
      <c r="M650" s="67">
        <v>53000</v>
      </c>
      <c r="N650" s="67">
        <v>64300</v>
      </c>
      <c r="O650" s="68">
        <v>34</v>
      </c>
      <c r="P650" s="67">
        <v>2383000</v>
      </c>
      <c r="Q650" s="67">
        <v>53000</v>
      </c>
      <c r="R650" s="67">
        <v>64300</v>
      </c>
      <c r="S650" s="65">
        <v>34</v>
      </c>
      <c r="T650" s="66">
        <v>3907000</v>
      </c>
      <c r="U650" s="120"/>
      <c r="V650" s="69">
        <v>1</v>
      </c>
      <c r="W650" s="70">
        <v>1</v>
      </c>
      <c r="X650" s="70">
        <v>1</v>
      </c>
      <c r="Y650" s="70">
        <v>1</v>
      </c>
      <c r="Z650" s="70">
        <v>1</v>
      </c>
      <c r="AA650" s="71">
        <v>1</v>
      </c>
      <c r="AB650" s="70">
        <v>1</v>
      </c>
      <c r="AC650" s="70">
        <v>1</v>
      </c>
      <c r="AD650" s="70">
        <v>1</v>
      </c>
      <c r="AE650" s="70">
        <v>1</v>
      </c>
      <c r="AF650" s="69">
        <v>1</v>
      </c>
      <c r="AG650" s="70">
        <v>1</v>
      </c>
      <c r="AH650" s="70">
        <v>1</v>
      </c>
      <c r="AI650" s="70">
        <v>1</v>
      </c>
      <c r="AJ650" s="70">
        <v>1</v>
      </c>
      <c r="AK650" s="78">
        <f t="shared" si="98"/>
        <v>166.32801161103049</v>
      </c>
      <c r="AL650" s="79"/>
      <c r="AM650" s="80"/>
      <c r="AN650" s="81"/>
      <c r="AO650" s="70" t="str">
        <f>IF(head!$F$82="S460","a0","a")</f>
        <v>a</v>
      </c>
      <c r="AP650" s="70">
        <f t="shared" si="99"/>
        <v>0.21</v>
      </c>
      <c r="AQ650" s="72">
        <f>IF(head!F$82="S235",235,IF(head!F$82="S275",275,IF(head!F$82="S355",355,IF(head!F$82="S420",420,460))))^0.5*head!$G$70*1000/(S650*3.1416*210000^0.5)</f>
        <v>3.8492376394559518</v>
      </c>
      <c r="AR650" s="72">
        <f t="shared" si="100"/>
        <v>8.2914851546450894</v>
      </c>
      <c r="AS650" s="72">
        <f t="shared" si="101"/>
        <v>6.3957705537696238E-2</v>
      </c>
      <c r="AT650" s="52">
        <f>IF(head!F$82="S235",235,IF(head!F$82="S275",275,IF(head!F$82="S355",355,IF(head!F$82="S420",420,460))))*AS650*J650/1000</f>
        <v>46.93120495797843</v>
      </c>
      <c r="AU650" s="192"/>
      <c r="AV650" s="52"/>
      <c r="AW650" s="52"/>
      <c r="AX650" s="105"/>
      <c r="AY650" s="52"/>
      <c r="AZ650" s="191">
        <v>0</v>
      </c>
      <c r="BA650" s="77" t="str">
        <f t="shared" si="102"/>
        <v>HF SHS 90 x 7,1</v>
      </c>
    </row>
    <row r="651" spans="1:53">
      <c r="A651" s="61" t="s">
        <v>760</v>
      </c>
      <c r="B651" s="62">
        <f t="shared" si="97"/>
        <v>51.033789591336848</v>
      </c>
      <c r="C651" s="63">
        <v>90</v>
      </c>
      <c r="D651" s="63">
        <v>90</v>
      </c>
      <c r="E651" s="124">
        <v>7.1</v>
      </c>
      <c r="F651" s="63"/>
      <c r="G651" s="63"/>
      <c r="H651" s="64">
        <v>18.100000000000001</v>
      </c>
      <c r="I651" s="65">
        <v>18.399999999999999</v>
      </c>
      <c r="J651" s="65">
        <v>2300</v>
      </c>
      <c r="K651" s="65">
        <v>0.3417</v>
      </c>
      <c r="L651" s="66">
        <v>2596000</v>
      </c>
      <c r="M651" s="67">
        <v>57700</v>
      </c>
      <c r="N651" s="67">
        <v>70800</v>
      </c>
      <c r="O651" s="68">
        <v>33.6</v>
      </c>
      <c r="P651" s="67">
        <v>2596000</v>
      </c>
      <c r="Q651" s="67">
        <v>57700</v>
      </c>
      <c r="R651" s="67">
        <v>70800</v>
      </c>
      <c r="S651" s="65">
        <v>33.6</v>
      </c>
      <c r="T651" s="66">
        <v>4305000</v>
      </c>
      <c r="U651" s="120"/>
      <c r="V651" s="69">
        <v>1</v>
      </c>
      <c r="W651" s="70">
        <v>1</v>
      </c>
      <c r="X651" s="70">
        <v>1</v>
      </c>
      <c r="Y651" s="70">
        <v>1</v>
      </c>
      <c r="Z651" s="70">
        <v>1</v>
      </c>
      <c r="AA651" s="71">
        <v>1</v>
      </c>
      <c r="AB651" s="70">
        <v>1</v>
      </c>
      <c r="AC651" s="70">
        <v>1</v>
      </c>
      <c r="AD651" s="70">
        <v>1</v>
      </c>
      <c r="AE651" s="70">
        <v>1</v>
      </c>
      <c r="AF651" s="69">
        <v>1</v>
      </c>
      <c r="AG651" s="70">
        <v>1</v>
      </c>
      <c r="AH651" s="70">
        <v>1</v>
      </c>
      <c r="AI651" s="70">
        <v>1</v>
      </c>
      <c r="AJ651" s="70">
        <v>1</v>
      </c>
      <c r="AK651" s="78">
        <f t="shared" si="98"/>
        <v>148.56521739130434</v>
      </c>
      <c r="AL651" s="79"/>
      <c r="AM651" s="80"/>
      <c r="AN651" s="81"/>
      <c r="AO651" s="70" t="str">
        <f>IF(head!$F$82="S460","a0","a")</f>
        <v>a</v>
      </c>
      <c r="AP651" s="70">
        <f t="shared" si="99"/>
        <v>0.21</v>
      </c>
      <c r="AQ651" s="72">
        <f>IF(head!F$82="S235",235,IF(head!F$82="S275",275,IF(head!F$82="S355",355,IF(head!F$82="S420",420,460))))^0.5*head!$G$70*1000/(S651*3.1416*210000^0.5)</f>
        <v>3.8950618970685227</v>
      </c>
      <c r="AR651" s="72">
        <f t="shared" si="100"/>
        <v>8.4737350901897148</v>
      </c>
      <c r="AS651" s="72">
        <f t="shared" si="101"/>
        <v>6.2503110338440721E-2</v>
      </c>
      <c r="AT651" s="52">
        <f>IF(head!F$82="S235",235,IF(head!F$82="S275",275,IF(head!F$82="S355",355,IF(head!F$82="S420",420,460))))*AS651*J651/1000</f>
        <v>51.033789591336848</v>
      </c>
      <c r="AU651" s="192"/>
      <c r="AV651" s="52"/>
      <c r="AW651" s="52"/>
      <c r="AX651" s="105"/>
      <c r="AY651" s="52"/>
      <c r="AZ651" s="191">
        <v>0</v>
      </c>
      <c r="BA651" s="77" t="str">
        <f t="shared" si="102"/>
        <v>HF SHS 90 x 8</v>
      </c>
    </row>
    <row r="652" spans="1:53">
      <c r="A652" s="61" t="s">
        <v>761</v>
      </c>
      <c r="B652" s="62">
        <f t="shared" si="97"/>
        <v>55.386740209693613</v>
      </c>
      <c r="C652" s="63">
        <v>90</v>
      </c>
      <c r="D652" s="63">
        <v>90</v>
      </c>
      <c r="E652" s="124">
        <v>8</v>
      </c>
      <c r="F652" s="63"/>
      <c r="G652" s="63"/>
      <c r="H652" s="64">
        <v>20.100000000000001</v>
      </c>
      <c r="I652" s="65">
        <v>20.399999999999999</v>
      </c>
      <c r="J652" s="65">
        <v>2555</v>
      </c>
      <c r="K652" s="65">
        <v>0.33939999999999998</v>
      </c>
      <c r="L652" s="66">
        <v>2815000</v>
      </c>
      <c r="M652" s="67">
        <v>62600</v>
      </c>
      <c r="N652" s="67">
        <v>77600</v>
      </c>
      <c r="O652" s="68">
        <v>33.200000000000003</v>
      </c>
      <c r="P652" s="67">
        <v>2815000</v>
      </c>
      <c r="Q652" s="67">
        <v>62600</v>
      </c>
      <c r="R652" s="67">
        <v>77600</v>
      </c>
      <c r="S652" s="65">
        <v>33.200000000000003</v>
      </c>
      <c r="T652" s="66">
        <v>4725000</v>
      </c>
      <c r="U652" s="120"/>
      <c r="V652" s="69">
        <v>1</v>
      </c>
      <c r="W652" s="70">
        <v>1</v>
      </c>
      <c r="X652" s="70">
        <v>1</v>
      </c>
      <c r="Y652" s="70">
        <v>1</v>
      </c>
      <c r="Z652" s="70">
        <v>1</v>
      </c>
      <c r="AA652" s="71">
        <v>1</v>
      </c>
      <c r="AB652" s="70">
        <v>1</v>
      </c>
      <c r="AC652" s="70">
        <v>1</v>
      </c>
      <c r="AD652" s="70">
        <v>1</v>
      </c>
      <c r="AE652" s="70">
        <v>1</v>
      </c>
      <c r="AF652" s="69">
        <v>1</v>
      </c>
      <c r="AG652" s="70">
        <v>1</v>
      </c>
      <c r="AH652" s="70">
        <v>1</v>
      </c>
      <c r="AI652" s="70">
        <v>1</v>
      </c>
      <c r="AJ652" s="70">
        <v>1</v>
      </c>
      <c r="AK652" s="78">
        <f t="shared" si="98"/>
        <v>132.83757338551857</v>
      </c>
      <c r="AL652" s="79"/>
      <c r="AM652" s="80"/>
      <c r="AN652" s="81"/>
      <c r="AO652" s="70" t="str">
        <f>IF(head!$F$82="S460","a0","a")</f>
        <v>a</v>
      </c>
      <c r="AP652" s="70">
        <f t="shared" si="99"/>
        <v>0.21</v>
      </c>
      <c r="AQ652" s="72">
        <f>IF(head!F$82="S235",235,IF(head!F$82="S275",275,IF(head!F$82="S355",355,IF(head!F$82="S420",420,460))))^0.5*head!$G$70*1000/(S652*3.1416*210000^0.5)</f>
        <v>3.9419903536597092</v>
      </c>
      <c r="AR652" s="72">
        <f t="shared" si="100"/>
        <v>8.6625529613073695</v>
      </c>
      <c r="AS652" s="72">
        <f t="shared" si="101"/>
        <v>6.1064182585588725E-2</v>
      </c>
      <c r="AT652" s="52">
        <f>IF(head!F$82="S235",235,IF(head!F$82="S275",275,IF(head!F$82="S355",355,IF(head!F$82="S420",420,460))))*AS652*J652/1000</f>
        <v>55.386740209693613</v>
      </c>
      <c r="AU652" s="192"/>
      <c r="AV652" s="52"/>
      <c r="AW652" s="52"/>
      <c r="AX652" s="105"/>
      <c r="AY652" s="52"/>
      <c r="AZ652" s="191">
        <v>0</v>
      </c>
      <c r="BA652" s="77" t="str">
        <f t="shared" si="102"/>
        <v>HF SHS 90 x 8,8</v>
      </c>
    </row>
    <row r="653" spans="1:53">
      <c r="A653" s="61" t="s">
        <v>762</v>
      </c>
      <c r="B653" s="62">
        <f t="shared" si="97"/>
        <v>58.753805610990142</v>
      </c>
      <c r="C653" s="63">
        <v>90</v>
      </c>
      <c r="D653" s="63">
        <v>90</v>
      </c>
      <c r="E653" s="124">
        <v>8.8000000000000007</v>
      </c>
      <c r="F653" s="63"/>
      <c r="G653" s="63"/>
      <c r="H653" s="64">
        <v>21.8</v>
      </c>
      <c r="I653" s="65">
        <v>22.2</v>
      </c>
      <c r="J653" s="65">
        <v>2775</v>
      </c>
      <c r="K653" s="65">
        <v>0.33729999999999999</v>
      </c>
      <c r="L653" s="66">
        <v>2991000</v>
      </c>
      <c r="M653" s="67">
        <v>66500</v>
      </c>
      <c r="N653" s="67">
        <v>83400</v>
      </c>
      <c r="O653" s="68">
        <v>32.799999999999997</v>
      </c>
      <c r="P653" s="67">
        <v>2991000</v>
      </c>
      <c r="Q653" s="67">
        <v>66500</v>
      </c>
      <c r="R653" s="67">
        <v>83400</v>
      </c>
      <c r="S653" s="65">
        <v>32.799999999999997</v>
      </c>
      <c r="T653" s="66">
        <v>5074000</v>
      </c>
      <c r="U653" s="120"/>
      <c r="V653" s="69">
        <v>1</v>
      </c>
      <c r="W653" s="70">
        <v>1</v>
      </c>
      <c r="X653" s="70">
        <v>1</v>
      </c>
      <c r="Y653" s="70">
        <v>1</v>
      </c>
      <c r="Z653" s="70">
        <v>1</v>
      </c>
      <c r="AA653" s="71">
        <v>1</v>
      </c>
      <c r="AB653" s="70">
        <v>1</v>
      </c>
      <c r="AC653" s="70">
        <v>1</v>
      </c>
      <c r="AD653" s="70">
        <v>1</v>
      </c>
      <c r="AE653" s="70">
        <v>1</v>
      </c>
      <c r="AF653" s="69">
        <v>1</v>
      </c>
      <c r="AG653" s="70">
        <v>1</v>
      </c>
      <c r="AH653" s="70">
        <v>1</v>
      </c>
      <c r="AI653" s="70">
        <v>1</v>
      </c>
      <c r="AJ653" s="70">
        <v>1</v>
      </c>
      <c r="AK653" s="78">
        <f t="shared" si="98"/>
        <v>121.54954954954954</v>
      </c>
      <c r="AL653" s="79"/>
      <c r="AM653" s="80"/>
      <c r="AN653" s="81"/>
      <c r="AO653" s="70" t="str">
        <f>IF(head!$F$82="S460","a0","a")</f>
        <v>a</v>
      </c>
      <c r="AP653" s="70">
        <f t="shared" si="99"/>
        <v>0.21</v>
      </c>
      <c r="AQ653" s="72">
        <f>IF(head!F$82="S235",235,IF(head!F$82="S275",275,IF(head!F$82="S355",355,IF(head!F$82="S420",420,460))))^0.5*head!$G$70*1000/(S653*3.1416*210000^0.5)</f>
        <v>3.9900634067531207</v>
      </c>
      <c r="AR653" s="72">
        <f t="shared" si="100"/>
        <v>8.8582596526642376</v>
      </c>
      <c r="AS653" s="72">
        <f t="shared" si="101"/>
        <v>5.9640964964842169E-2</v>
      </c>
      <c r="AT653" s="52">
        <f>IF(head!F$82="S235",235,IF(head!F$82="S275",275,IF(head!F$82="S355",355,IF(head!F$82="S420",420,460))))*AS653*J653/1000</f>
        <v>58.753805610990142</v>
      </c>
      <c r="AU653" s="192"/>
      <c r="AV653" s="52"/>
      <c r="AW653" s="52"/>
      <c r="AX653" s="105"/>
      <c r="AY653" s="52"/>
      <c r="AZ653" s="191">
        <v>0</v>
      </c>
      <c r="BA653" s="77" t="str">
        <f t="shared" si="102"/>
        <v>HF SHS 100 x 4</v>
      </c>
    </row>
    <row r="654" spans="1:53">
      <c r="A654" s="61" t="s">
        <v>192</v>
      </c>
      <c r="B654" s="62">
        <f t="shared" si="97"/>
        <v>45.220082915068204</v>
      </c>
      <c r="C654" s="63">
        <v>100</v>
      </c>
      <c r="D654" s="63">
        <v>100</v>
      </c>
      <c r="E654" s="124">
        <v>4</v>
      </c>
      <c r="F654" s="63"/>
      <c r="G654" s="63"/>
      <c r="H654" s="64">
        <v>11.9</v>
      </c>
      <c r="I654" s="65">
        <v>12.2</v>
      </c>
      <c r="J654" s="65">
        <v>1519</v>
      </c>
      <c r="K654" s="65">
        <v>0.38969999999999999</v>
      </c>
      <c r="L654" s="66">
        <v>2318000</v>
      </c>
      <c r="M654" s="67">
        <v>46400</v>
      </c>
      <c r="N654" s="67">
        <v>54400</v>
      </c>
      <c r="O654" s="68">
        <v>39.1</v>
      </c>
      <c r="P654" s="67">
        <v>2318000</v>
      </c>
      <c r="Q654" s="67">
        <v>46400</v>
      </c>
      <c r="R654" s="67">
        <v>54400</v>
      </c>
      <c r="S654" s="65">
        <v>39.1</v>
      </c>
      <c r="T654" s="66">
        <v>3660000</v>
      </c>
      <c r="U654" s="120"/>
      <c r="V654" s="69">
        <v>1</v>
      </c>
      <c r="W654" s="70">
        <v>1</v>
      </c>
      <c r="X654" s="70">
        <v>1</v>
      </c>
      <c r="Y654" s="70">
        <v>1</v>
      </c>
      <c r="Z654" s="70">
        <v>1</v>
      </c>
      <c r="AA654" s="71">
        <v>1</v>
      </c>
      <c r="AB654" s="70">
        <v>1</v>
      </c>
      <c r="AC654" s="70">
        <v>1</v>
      </c>
      <c r="AD654" s="70">
        <v>2</v>
      </c>
      <c r="AE654" s="70">
        <v>2</v>
      </c>
      <c r="AF654" s="69">
        <v>1</v>
      </c>
      <c r="AG654" s="70">
        <v>1</v>
      </c>
      <c r="AH654" s="70">
        <v>1</v>
      </c>
      <c r="AI654" s="70">
        <v>1</v>
      </c>
      <c r="AJ654" s="70">
        <v>1</v>
      </c>
      <c r="AK654" s="78">
        <f t="shared" si="98"/>
        <v>256.55036208031601</v>
      </c>
      <c r="AL654" s="79"/>
      <c r="AM654" s="80"/>
      <c r="AN654" s="81"/>
      <c r="AO654" s="70" t="str">
        <f>IF(head!$F$82="S460","a0","a")</f>
        <v>a</v>
      </c>
      <c r="AP654" s="70">
        <f t="shared" si="99"/>
        <v>0.21</v>
      </c>
      <c r="AQ654" s="72">
        <f>IF(head!F$82="S235",235,IF(head!F$82="S275",275,IF(head!F$82="S355",355,IF(head!F$82="S420",420,460))))^0.5*head!$G$70*1000/(S654*3.1416*210000^0.5)</f>
        <v>3.3471631647443054</v>
      </c>
      <c r="AR654" s="72">
        <f t="shared" si="100"/>
        <v>6.4322027580087093</v>
      </c>
      <c r="AS654" s="72">
        <f t="shared" si="101"/>
        <v>8.3858140390857969E-2</v>
      </c>
      <c r="AT654" s="52">
        <f>IF(head!F$82="S235",235,IF(head!F$82="S275",275,IF(head!F$82="S355",355,IF(head!F$82="S420",420,460))))*AS654*J654/1000</f>
        <v>45.220082915068204</v>
      </c>
      <c r="AU654" s="192"/>
      <c r="AV654" s="52"/>
      <c r="AW654" s="52"/>
      <c r="AX654" s="105"/>
      <c r="AY654" s="52"/>
      <c r="AZ654" s="191">
        <v>0</v>
      </c>
      <c r="BA654" s="77" t="str">
        <f t="shared" si="102"/>
        <v>HF SHS 100 x 5</v>
      </c>
    </row>
    <row r="655" spans="1:53">
      <c r="A655" s="61" t="s">
        <v>140</v>
      </c>
      <c r="B655" s="62">
        <f t="shared" si="97"/>
        <v>54.388334615594694</v>
      </c>
      <c r="C655" s="63">
        <v>100</v>
      </c>
      <c r="D655" s="63">
        <v>100</v>
      </c>
      <c r="E655" s="124">
        <v>5</v>
      </c>
      <c r="F655" s="63"/>
      <c r="G655" s="63"/>
      <c r="H655" s="64">
        <v>14.7</v>
      </c>
      <c r="I655" s="65">
        <v>15</v>
      </c>
      <c r="J655" s="65">
        <v>1873</v>
      </c>
      <c r="K655" s="65">
        <v>0.3871</v>
      </c>
      <c r="L655" s="66">
        <v>2794000</v>
      </c>
      <c r="M655" s="67">
        <v>55900</v>
      </c>
      <c r="N655" s="67">
        <v>66400</v>
      </c>
      <c r="O655" s="68">
        <v>38.6</v>
      </c>
      <c r="P655" s="67">
        <v>2794000</v>
      </c>
      <c r="Q655" s="67">
        <v>55900</v>
      </c>
      <c r="R655" s="67">
        <v>66400</v>
      </c>
      <c r="S655" s="65">
        <v>38.6</v>
      </c>
      <c r="T655" s="66">
        <v>4468000</v>
      </c>
      <c r="U655" s="120"/>
      <c r="V655" s="69">
        <v>1</v>
      </c>
      <c r="W655" s="70">
        <v>1</v>
      </c>
      <c r="X655" s="70">
        <v>1</v>
      </c>
      <c r="Y655" s="70">
        <v>1</v>
      </c>
      <c r="Z655" s="70">
        <v>1</v>
      </c>
      <c r="AA655" s="71">
        <v>1</v>
      </c>
      <c r="AB655" s="70">
        <v>1</v>
      </c>
      <c r="AC655" s="70">
        <v>1</v>
      </c>
      <c r="AD655" s="70">
        <v>1</v>
      </c>
      <c r="AE655" s="70">
        <v>1</v>
      </c>
      <c r="AF655" s="69">
        <v>1</v>
      </c>
      <c r="AG655" s="70">
        <v>1</v>
      </c>
      <c r="AH655" s="70">
        <v>1</v>
      </c>
      <c r="AI655" s="70">
        <v>1</v>
      </c>
      <c r="AJ655" s="70">
        <v>1</v>
      </c>
      <c r="AK655" s="78">
        <f t="shared" si="98"/>
        <v>206.67378537106248</v>
      </c>
      <c r="AL655" s="79"/>
      <c r="AM655" s="80"/>
      <c r="AN655" s="81"/>
      <c r="AO655" s="70" t="str">
        <f>IF(head!$F$82="S460","a0","a")</f>
        <v>a</v>
      </c>
      <c r="AP655" s="70">
        <f t="shared" si="99"/>
        <v>0.21</v>
      </c>
      <c r="AQ655" s="72">
        <f>IF(head!F$82="S235",235,IF(head!F$82="S275",275,IF(head!F$82="S355",355,IF(head!F$82="S420",420,460))))^0.5*head!$G$70*1000/(S655*3.1416*210000^0.5)</f>
        <v>3.3905202005570558</v>
      </c>
      <c r="AR655" s="72">
        <f t="shared" si="100"/>
        <v>6.58281823625122</v>
      </c>
      <c r="AS655" s="72">
        <f t="shared" si="101"/>
        <v>8.1797424656677456E-2</v>
      </c>
      <c r="AT655" s="52">
        <f>IF(head!F$82="S235",235,IF(head!F$82="S275",275,IF(head!F$82="S355",355,IF(head!F$82="S420",420,460))))*AS655*J655/1000</f>
        <v>54.388334615594694</v>
      </c>
      <c r="AU655" s="192"/>
      <c r="AV655" s="52"/>
      <c r="AW655" s="52"/>
      <c r="AX655" s="105"/>
      <c r="AY655" s="52"/>
      <c r="AZ655" s="191">
        <v>0</v>
      </c>
      <c r="BA655" s="77" t="str">
        <f t="shared" si="102"/>
        <v>HF SHS 100 x 6,3</v>
      </c>
    </row>
    <row r="656" spans="1:53">
      <c r="A656" s="61" t="s">
        <v>763</v>
      </c>
      <c r="B656" s="62">
        <f t="shared" si="97"/>
        <v>65.329202480998774</v>
      </c>
      <c r="C656" s="63">
        <v>100</v>
      </c>
      <c r="D656" s="63">
        <v>100</v>
      </c>
      <c r="E656" s="124">
        <v>6.3</v>
      </c>
      <c r="F656" s="63"/>
      <c r="G656" s="63"/>
      <c r="H656" s="64">
        <v>18.2</v>
      </c>
      <c r="I656" s="65">
        <v>18.5</v>
      </c>
      <c r="J656" s="65">
        <v>2319</v>
      </c>
      <c r="K656" s="65">
        <v>0.38379999999999997</v>
      </c>
      <c r="L656" s="66">
        <v>3356000</v>
      </c>
      <c r="M656" s="67">
        <v>67100</v>
      </c>
      <c r="N656" s="67">
        <v>80900</v>
      </c>
      <c r="O656" s="68">
        <v>38</v>
      </c>
      <c r="P656" s="67">
        <v>3356000</v>
      </c>
      <c r="Q656" s="67">
        <v>67100</v>
      </c>
      <c r="R656" s="67">
        <v>80900</v>
      </c>
      <c r="S656" s="65">
        <v>38</v>
      </c>
      <c r="T656" s="66">
        <v>5454000</v>
      </c>
      <c r="U656" s="120"/>
      <c r="V656" s="69">
        <v>1</v>
      </c>
      <c r="W656" s="70">
        <v>1</v>
      </c>
      <c r="X656" s="70">
        <v>1</v>
      </c>
      <c r="Y656" s="70">
        <v>1</v>
      </c>
      <c r="Z656" s="70">
        <v>1</v>
      </c>
      <c r="AA656" s="71">
        <v>1</v>
      </c>
      <c r="AB656" s="70">
        <v>1</v>
      </c>
      <c r="AC656" s="70">
        <v>1</v>
      </c>
      <c r="AD656" s="70">
        <v>1</v>
      </c>
      <c r="AE656" s="70">
        <v>1</v>
      </c>
      <c r="AF656" s="69">
        <v>1</v>
      </c>
      <c r="AG656" s="70">
        <v>1</v>
      </c>
      <c r="AH656" s="70">
        <v>1</v>
      </c>
      <c r="AI656" s="70">
        <v>1</v>
      </c>
      <c r="AJ656" s="70">
        <v>1</v>
      </c>
      <c r="AK656" s="78">
        <f t="shared" si="98"/>
        <v>165.50237171194479</v>
      </c>
      <c r="AL656" s="79"/>
      <c r="AM656" s="80"/>
      <c r="AN656" s="81"/>
      <c r="AO656" s="70" t="str">
        <f>IF(head!$F$82="S460","a0","a")</f>
        <v>a</v>
      </c>
      <c r="AP656" s="70">
        <f t="shared" si="99"/>
        <v>0.21</v>
      </c>
      <c r="AQ656" s="72">
        <f>IF(head!F$82="S235",235,IF(head!F$82="S275",275,IF(head!F$82="S355",355,IF(head!F$82="S420",420,460))))^0.5*head!$G$70*1000/(S656*3.1416*210000^0.5)</f>
        <v>3.4440547300395359</v>
      </c>
      <c r="AR656" s="72">
        <f t="shared" si="100"/>
        <v>6.7713822384080009</v>
      </c>
      <c r="AS656" s="72">
        <f t="shared" si="101"/>
        <v>7.9355723364246095E-2</v>
      </c>
      <c r="AT656" s="52">
        <f>IF(head!F$82="S235",235,IF(head!F$82="S275",275,IF(head!F$82="S355",355,IF(head!F$82="S420",420,460))))*AS656*J656/1000</f>
        <v>65.329202480998774</v>
      </c>
      <c r="AU656" s="192"/>
      <c r="AV656" s="52"/>
      <c r="AW656" s="52"/>
      <c r="AX656" s="105"/>
      <c r="AY656" s="52"/>
      <c r="AZ656" s="191">
        <v>0</v>
      </c>
      <c r="BA656" s="77" t="str">
        <f t="shared" si="102"/>
        <v>HF SHS 100 x 8</v>
      </c>
    </row>
    <row r="657" spans="1:53">
      <c r="A657" s="61" t="s">
        <v>764</v>
      </c>
      <c r="B657" s="62">
        <f t="shared" si="97"/>
        <v>78.129081947380115</v>
      </c>
      <c r="C657" s="63">
        <v>100</v>
      </c>
      <c r="D657" s="63">
        <v>100</v>
      </c>
      <c r="E657" s="124">
        <v>8</v>
      </c>
      <c r="F657" s="63"/>
      <c r="G657" s="63"/>
      <c r="H657" s="64">
        <v>22.6</v>
      </c>
      <c r="I657" s="65">
        <v>23</v>
      </c>
      <c r="J657" s="65">
        <v>2875</v>
      </c>
      <c r="K657" s="65">
        <v>0.37940000000000002</v>
      </c>
      <c r="L657" s="66">
        <v>3996000</v>
      </c>
      <c r="M657" s="67">
        <v>79900</v>
      </c>
      <c r="N657" s="67">
        <v>98200</v>
      </c>
      <c r="O657" s="68">
        <v>37.299999999999997</v>
      </c>
      <c r="P657" s="67">
        <v>3996000</v>
      </c>
      <c r="Q657" s="67">
        <v>79900</v>
      </c>
      <c r="R657" s="67">
        <v>98200</v>
      </c>
      <c r="S657" s="65">
        <v>37.299999999999997</v>
      </c>
      <c r="T657" s="66">
        <v>6634000</v>
      </c>
      <c r="U657" s="120"/>
      <c r="V657" s="69">
        <v>1</v>
      </c>
      <c r="W657" s="70">
        <v>1</v>
      </c>
      <c r="X657" s="70">
        <v>1</v>
      </c>
      <c r="Y657" s="70">
        <v>1</v>
      </c>
      <c r="Z657" s="70">
        <v>1</v>
      </c>
      <c r="AA657" s="71">
        <v>1</v>
      </c>
      <c r="AB657" s="70">
        <v>1</v>
      </c>
      <c r="AC657" s="70">
        <v>1</v>
      </c>
      <c r="AD657" s="70">
        <v>1</v>
      </c>
      <c r="AE657" s="70">
        <v>1</v>
      </c>
      <c r="AF657" s="69">
        <v>1</v>
      </c>
      <c r="AG657" s="70">
        <v>1</v>
      </c>
      <c r="AH657" s="70">
        <v>1</v>
      </c>
      <c r="AI657" s="70">
        <v>1</v>
      </c>
      <c r="AJ657" s="70">
        <v>1</v>
      </c>
      <c r="AK657" s="78">
        <f t="shared" si="98"/>
        <v>131.96521739130435</v>
      </c>
      <c r="AL657" s="79"/>
      <c r="AM657" s="80"/>
      <c r="AN657" s="81"/>
      <c r="AO657" s="70" t="str">
        <f>IF(head!$F$82="S460","a0","a")</f>
        <v>a</v>
      </c>
      <c r="AP657" s="70">
        <f t="shared" si="99"/>
        <v>0.21</v>
      </c>
      <c r="AQ657" s="72">
        <f>IF(head!F$82="S235",235,IF(head!F$82="S275",275,IF(head!F$82="S355",355,IF(head!F$82="S420",420,460))))^0.5*head!$G$70*1000/(S657*3.1416*210000^0.5)</f>
        <v>3.5086884649196346</v>
      </c>
      <c r="AR657" s="72">
        <f t="shared" si="100"/>
        <v>7.002859660746612</v>
      </c>
      <c r="AS657" s="72">
        <f t="shared" si="101"/>
        <v>7.6550233383838442E-2</v>
      </c>
      <c r="AT657" s="52">
        <f>IF(head!F$82="S235",235,IF(head!F$82="S275",275,IF(head!F$82="S355",355,IF(head!F$82="S420",420,460))))*AS657*J657/1000</f>
        <v>78.129081947380115</v>
      </c>
      <c r="AU657" s="192"/>
      <c r="AV657" s="52"/>
      <c r="AW657" s="52"/>
      <c r="AX657" s="105"/>
      <c r="AY657" s="52"/>
      <c r="AZ657" s="191">
        <v>0</v>
      </c>
      <c r="BA657" s="77" t="str">
        <f t="shared" si="102"/>
        <v>HF SHS 100 x 10</v>
      </c>
    </row>
    <row r="658" spans="1:53">
      <c r="A658" s="61" t="s">
        <v>765</v>
      </c>
      <c r="B658" s="62">
        <f t="shared" si="97"/>
        <v>90.535800189481009</v>
      </c>
      <c r="C658" s="63">
        <v>100</v>
      </c>
      <c r="D658" s="63">
        <v>100</v>
      </c>
      <c r="E658" s="124">
        <v>10</v>
      </c>
      <c r="F658" s="63"/>
      <c r="G658" s="63"/>
      <c r="H658" s="64">
        <v>27.4</v>
      </c>
      <c r="I658" s="65">
        <v>27.9</v>
      </c>
      <c r="J658" s="65">
        <v>3493</v>
      </c>
      <c r="K658" s="65">
        <v>0.37419999999999998</v>
      </c>
      <c r="L658" s="66">
        <v>4621000</v>
      </c>
      <c r="M658" s="67">
        <v>92400</v>
      </c>
      <c r="N658" s="67">
        <v>116200</v>
      </c>
      <c r="O658" s="68">
        <v>36.4</v>
      </c>
      <c r="P658" s="67">
        <v>4621000</v>
      </c>
      <c r="Q658" s="67">
        <v>92400</v>
      </c>
      <c r="R658" s="67">
        <v>116200</v>
      </c>
      <c r="S658" s="65">
        <v>36.4</v>
      </c>
      <c r="T658" s="66">
        <v>7862000</v>
      </c>
      <c r="U658" s="120"/>
      <c r="V658" s="69">
        <v>1</v>
      </c>
      <c r="W658" s="70">
        <v>1</v>
      </c>
      <c r="X658" s="70">
        <v>1</v>
      </c>
      <c r="Y658" s="70">
        <v>1</v>
      </c>
      <c r="Z658" s="70">
        <v>1</v>
      </c>
      <c r="AA658" s="71">
        <v>1</v>
      </c>
      <c r="AB658" s="70">
        <v>1</v>
      </c>
      <c r="AC658" s="70">
        <v>1</v>
      </c>
      <c r="AD658" s="70">
        <v>1</v>
      </c>
      <c r="AE658" s="70">
        <v>1</v>
      </c>
      <c r="AF658" s="69">
        <v>1</v>
      </c>
      <c r="AG658" s="70">
        <v>1</v>
      </c>
      <c r="AH658" s="70">
        <v>1</v>
      </c>
      <c r="AI658" s="70">
        <v>1</v>
      </c>
      <c r="AJ658" s="70">
        <v>1</v>
      </c>
      <c r="AK658" s="78">
        <f t="shared" si="98"/>
        <v>107.12854279988548</v>
      </c>
      <c r="AL658" s="79"/>
      <c r="AM658" s="80"/>
      <c r="AN658" s="81"/>
      <c r="AO658" s="70" t="str">
        <f>IF(head!$F$82="S460","a0","a")</f>
        <v>a</v>
      </c>
      <c r="AP658" s="70">
        <f t="shared" si="99"/>
        <v>0.21</v>
      </c>
      <c r="AQ658" s="72">
        <f>IF(head!F$82="S235",235,IF(head!F$82="S275",275,IF(head!F$82="S355",355,IF(head!F$82="S420",420,460))))^0.5*head!$G$70*1000/(S658*3.1416*210000^0.5)</f>
        <v>3.5954417511401751</v>
      </c>
      <c r="AR658" s="72">
        <f t="shared" si="100"/>
        <v>7.3201220767906827</v>
      </c>
      <c r="AS658" s="72">
        <f t="shared" si="101"/>
        <v>7.3011858880320815E-2</v>
      </c>
      <c r="AT658" s="52">
        <f>IF(head!F$82="S235",235,IF(head!F$82="S275",275,IF(head!F$82="S355",355,IF(head!F$82="S420",420,460))))*AS658*J658/1000</f>
        <v>90.535800189481009</v>
      </c>
      <c r="AU658" s="192"/>
      <c r="AV658" s="52"/>
      <c r="AW658" s="52"/>
      <c r="AX658" s="105"/>
      <c r="AY658" s="52"/>
      <c r="AZ658" s="191">
        <v>0</v>
      </c>
      <c r="BA658" s="77" t="str">
        <f t="shared" si="102"/>
        <v>HF SHS 100 x 12,5</v>
      </c>
    </row>
    <row r="659" spans="1:53">
      <c r="A659" s="61" t="s">
        <v>766</v>
      </c>
      <c r="B659" s="62">
        <f t="shared" si="97"/>
        <v>102.17687156520871</v>
      </c>
      <c r="C659" s="63">
        <v>100</v>
      </c>
      <c r="D659" s="63">
        <v>100</v>
      </c>
      <c r="E659" s="124">
        <v>12.5</v>
      </c>
      <c r="F659" s="63"/>
      <c r="G659" s="63"/>
      <c r="H659" s="64">
        <v>33</v>
      </c>
      <c r="I659" s="65">
        <v>33.700000000000003</v>
      </c>
      <c r="J659" s="65">
        <v>4207</v>
      </c>
      <c r="K659" s="65">
        <v>0.36780000000000002</v>
      </c>
      <c r="L659" s="66">
        <v>5222000</v>
      </c>
      <c r="M659" s="67">
        <v>104400</v>
      </c>
      <c r="N659" s="67">
        <v>135400</v>
      </c>
      <c r="O659" s="68">
        <v>35.200000000000003</v>
      </c>
      <c r="P659" s="67">
        <v>5222000</v>
      </c>
      <c r="Q659" s="67">
        <v>104400</v>
      </c>
      <c r="R659" s="67">
        <v>135400</v>
      </c>
      <c r="S659" s="65">
        <v>35.200000000000003</v>
      </c>
      <c r="T659" s="66">
        <v>9151000</v>
      </c>
      <c r="U659" s="120"/>
      <c r="V659" s="69">
        <v>1</v>
      </c>
      <c r="W659" s="70">
        <v>1</v>
      </c>
      <c r="X659" s="70">
        <v>1</v>
      </c>
      <c r="Y659" s="70">
        <v>1</v>
      </c>
      <c r="Z659" s="70">
        <v>1</v>
      </c>
      <c r="AA659" s="71">
        <v>1</v>
      </c>
      <c r="AB659" s="70">
        <v>1</v>
      </c>
      <c r="AC659" s="70">
        <v>1</v>
      </c>
      <c r="AD659" s="70">
        <v>1</v>
      </c>
      <c r="AE659" s="70">
        <v>1</v>
      </c>
      <c r="AF659" s="69">
        <v>1</v>
      </c>
      <c r="AG659" s="70">
        <v>1</v>
      </c>
      <c r="AH659" s="70">
        <v>1</v>
      </c>
      <c r="AI659" s="70">
        <v>1</v>
      </c>
      <c r="AJ659" s="70">
        <v>1</v>
      </c>
      <c r="AK659" s="78">
        <f t="shared" si="98"/>
        <v>87.425719039695736</v>
      </c>
      <c r="AL659" s="79"/>
      <c r="AM659" s="80"/>
      <c r="AN659" s="81"/>
      <c r="AO659" s="70" t="str">
        <f>IF(head!$F$82="S460","a0","a")</f>
        <v>a</v>
      </c>
      <c r="AP659" s="70">
        <f t="shared" si="99"/>
        <v>0.21</v>
      </c>
      <c r="AQ659" s="72">
        <f>IF(head!F$82="S235",235,IF(head!F$82="S275",275,IF(head!F$82="S355",355,IF(head!F$82="S420",420,460))))^0.5*head!$G$70*1000/(S659*3.1416*210000^0.5)</f>
        <v>3.718013629019953</v>
      </c>
      <c r="AR659" s="72">
        <f t="shared" si="100"/>
        <v>7.7812041038361555</v>
      </c>
      <c r="AS659" s="72">
        <f t="shared" si="101"/>
        <v>6.8415063803927534E-2</v>
      </c>
      <c r="AT659" s="52">
        <f>IF(head!F$82="S235",235,IF(head!F$82="S275",275,IF(head!F$82="S355",355,IF(head!F$82="S420",420,460))))*AS659*J659/1000</f>
        <v>102.17687156520871</v>
      </c>
      <c r="AU659" s="192"/>
      <c r="AV659" s="52"/>
      <c r="AW659" s="52"/>
      <c r="AX659" s="105"/>
      <c r="AY659" s="52"/>
      <c r="AZ659" s="191">
        <v>0</v>
      </c>
      <c r="BA659" s="77" t="str">
        <f t="shared" si="102"/>
        <v>HF SHS 110 x 6,3</v>
      </c>
    </row>
    <row r="660" spans="1:53">
      <c r="A660" s="61" t="s">
        <v>767</v>
      </c>
      <c r="B660" s="62">
        <f t="shared" si="97"/>
        <v>88.270137769445697</v>
      </c>
      <c r="C660" s="63">
        <v>110</v>
      </c>
      <c r="D660" s="63">
        <v>110</v>
      </c>
      <c r="E660" s="124">
        <v>6.3</v>
      </c>
      <c r="F660" s="63"/>
      <c r="G660" s="63"/>
      <c r="H660" s="64">
        <v>20.2</v>
      </c>
      <c r="I660" s="65">
        <v>20.6</v>
      </c>
      <c r="J660" s="65">
        <v>2571</v>
      </c>
      <c r="K660" s="65">
        <v>0.42380000000000001</v>
      </c>
      <c r="L660" s="66">
        <v>4563000</v>
      </c>
      <c r="M660" s="67">
        <v>83000</v>
      </c>
      <c r="N660" s="67">
        <v>99300</v>
      </c>
      <c r="O660" s="68">
        <v>42.1</v>
      </c>
      <c r="P660" s="67">
        <v>4563000</v>
      </c>
      <c r="Q660" s="67">
        <v>83000</v>
      </c>
      <c r="R660" s="67">
        <v>99300</v>
      </c>
      <c r="S660" s="65">
        <v>42.1</v>
      </c>
      <c r="T660" s="66">
        <v>7363000</v>
      </c>
      <c r="U660" s="120"/>
      <c r="V660" s="69">
        <v>1</v>
      </c>
      <c r="W660" s="70">
        <v>1</v>
      </c>
      <c r="X660" s="70">
        <v>1</v>
      </c>
      <c r="Y660" s="70">
        <v>1</v>
      </c>
      <c r="Z660" s="70">
        <v>1</v>
      </c>
      <c r="AA660" s="71">
        <v>1</v>
      </c>
      <c r="AB660" s="70">
        <v>1</v>
      </c>
      <c r="AC660" s="70">
        <v>1</v>
      </c>
      <c r="AD660" s="70">
        <v>1</v>
      </c>
      <c r="AE660" s="70">
        <v>1</v>
      </c>
      <c r="AF660" s="69">
        <v>1</v>
      </c>
      <c r="AG660" s="70">
        <v>1</v>
      </c>
      <c r="AH660" s="70">
        <v>1</v>
      </c>
      <c r="AI660" s="70">
        <v>1</v>
      </c>
      <c r="AJ660" s="70">
        <v>1</v>
      </c>
      <c r="AK660" s="78">
        <f t="shared" si="98"/>
        <v>164.8385842084792</v>
      </c>
      <c r="AL660" s="79"/>
      <c r="AM660" s="80"/>
      <c r="AN660" s="81"/>
      <c r="AO660" s="70" t="str">
        <f>IF(head!$F$82="S460","a0","a")</f>
        <v>a</v>
      </c>
      <c r="AP660" s="70">
        <f t="shared" si="99"/>
        <v>0.21</v>
      </c>
      <c r="AQ660" s="72">
        <f>IF(head!F$82="S235",235,IF(head!F$82="S275",275,IF(head!F$82="S355",355,IF(head!F$82="S420",420,460))))^0.5*head!$G$70*1000/(S660*3.1416*210000^0.5)</f>
        <v>3.1086479748575382</v>
      </c>
      <c r="AR660" s="72">
        <f t="shared" si="100"/>
        <v>5.6372541531529778</v>
      </c>
      <c r="AS660" s="72">
        <f t="shared" si="101"/>
        <v>9.6712670325511188E-2</v>
      </c>
      <c r="AT660" s="52">
        <f>IF(head!F$82="S235",235,IF(head!F$82="S275",275,IF(head!F$82="S355",355,IF(head!F$82="S420",420,460))))*AS660*J660/1000</f>
        <v>88.270137769445697</v>
      </c>
      <c r="AU660" s="192"/>
      <c r="AV660" s="52"/>
      <c r="AW660" s="52"/>
      <c r="AX660" s="105"/>
      <c r="AY660" s="52"/>
      <c r="AZ660" s="191">
        <v>0</v>
      </c>
      <c r="BA660" s="77" t="str">
        <f t="shared" si="102"/>
        <v>HF SHS 110 x 8</v>
      </c>
    </row>
    <row r="661" spans="1:53">
      <c r="A661" s="61" t="s">
        <v>768</v>
      </c>
      <c r="B661" s="62">
        <f t="shared" si="97"/>
        <v>106.20734666778101</v>
      </c>
      <c r="C661" s="63">
        <v>110</v>
      </c>
      <c r="D661" s="63">
        <v>110</v>
      </c>
      <c r="E661" s="124">
        <v>8</v>
      </c>
      <c r="F661" s="63"/>
      <c r="G661" s="63"/>
      <c r="H661" s="64">
        <v>25.1</v>
      </c>
      <c r="I661" s="65">
        <v>25.6</v>
      </c>
      <c r="J661" s="65">
        <v>3195</v>
      </c>
      <c r="K661" s="65">
        <v>0.4194</v>
      </c>
      <c r="L661" s="66">
        <v>5468000</v>
      </c>
      <c r="M661" s="67">
        <v>99400</v>
      </c>
      <c r="N661" s="67">
        <v>121100</v>
      </c>
      <c r="O661" s="68">
        <v>41.4</v>
      </c>
      <c r="P661" s="67">
        <v>5468000</v>
      </c>
      <c r="Q661" s="67">
        <v>99400</v>
      </c>
      <c r="R661" s="67">
        <v>121100</v>
      </c>
      <c r="S661" s="65">
        <v>41.4</v>
      </c>
      <c r="T661" s="66">
        <v>8997000</v>
      </c>
      <c r="U661" s="120"/>
      <c r="V661" s="69">
        <v>1</v>
      </c>
      <c r="W661" s="70">
        <v>1</v>
      </c>
      <c r="X661" s="70">
        <v>1</v>
      </c>
      <c r="Y661" s="70">
        <v>1</v>
      </c>
      <c r="Z661" s="70">
        <v>1</v>
      </c>
      <c r="AA661" s="71">
        <v>1</v>
      </c>
      <c r="AB661" s="70">
        <v>1</v>
      </c>
      <c r="AC661" s="70">
        <v>1</v>
      </c>
      <c r="AD661" s="70">
        <v>1</v>
      </c>
      <c r="AE661" s="70">
        <v>1</v>
      </c>
      <c r="AF661" s="69">
        <v>1</v>
      </c>
      <c r="AG661" s="70">
        <v>1</v>
      </c>
      <c r="AH661" s="70">
        <v>1</v>
      </c>
      <c r="AI661" s="70">
        <v>1</v>
      </c>
      <c r="AJ661" s="70">
        <v>1</v>
      </c>
      <c r="AK661" s="78">
        <f t="shared" si="98"/>
        <v>131.26760563380282</v>
      </c>
      <c r="AL661" s="79"/>
      <c r="AM661" s="80"/>
      <c r="AN661" s="81"/>
      <c r="AO661" s="70" t="str">
        <f>IF(head!$F$82="S460","a0","a")</f>
        <v>a</v>
      </c>
      <c r="AP661" s="70">
        <f t="shared" si="99"/>
        <v>0.21</v>
      </c>
      <c r="AQ661" s="72">
        <f>IF(head!F$82="S235",235,IF(head!F$82="S275",275,IF(head!F$82="S355",355,IF(head!F$82="S420",420,460))))^0.5*head!$G$70*1000/(S661*3.1416*210000^0.5)</f>
        <v>3.1612096555918443</v>
      </c>
      <c r="AR661" s="72">
        <f t="shared" si="100"/>
        <v>5.8075502571406972</v>
      </c>
      <c r="AS661" s="72">
        <f t="shared" si="101"/>
        <v>9.3638693088038974E-2</v>
      </c>
      <c r="AT661" s="52">
        <f>IF(head!F$82="S235",235,IF(head!F$82="S275",275,IF(head!F$82="S355",355,IF(head!F$82="S420",420,460))))*AS661*J661/1000</f>
        <v>106.20734666778101</v>
      </c>
      <c r="AU661" s="192"/>
      <c r="AV661" s="52"/>
      <c r="AW661" s="52"/>
      <c r="AX661" s="105"/>
      <c r="AY661" s="52"/>
      <c r="AZ661" s="191">
        <v>0</v>
      </c>
      <c r="BA661" s="77" t="str">
        <f t="shared" si="102"/>
        <v>HF SHS 110 x 10</v>
      </c>
    </row>
    <row r="662" spans="1:53">
      <c r="A662" s="61" t="s">
        <v>769</v>
      </c>
      <c r="B662" s="62">
        <f t="shared" si="97"/>
        <v>124.03983264452683</v>
      </c>
      <c r="C662" s="63">
        <v>110</v>
      </c>
      <c r="D662" s="63">
        <v>110</v>
      </c>
      <c r="E662" s="124">
        <v>10</v>
      </c>
      <c r="F662" s="63"/>
      <c r="G662" s="63"/>
      <c r="H662" s="64">
        <v>30.6</v>
      </c>
      <c r="I662" s="65">
        <v>31.1</v>
      </c>
      <c r="J662" s="65">
        <v>3893</v>
      </c>
      <c r="K662" s="65">
        <v>0.41420000000000001</v>
      </c>
      <c r="L662" s="66">
        <v>6374000</v>
      </c>
      <c r="M662" s="67">
        <v>115900</v>
      </c>
      <c r="N662" s="67">
        <v>144200</v>
      </c>
      <c r="O662" s="68">
        <v>40.5</v>
      </c>
      <c r="P662" s="67">
        <v>6374000</v>
      </c>
      <c r="Q662" s="67">
        <v>115900</v>
      </c>
      <c r="R662" s="67">
        <v>144200</v>
      </c>
      <c r="S662" s="65">
        <v>40.5</v>
      </c>
      <c r="T662" s="66">
        <v>10725000</v>
      </c>
      <c r="U662" s="120"/>
      <c r="V662" s="69">
        <v>1</v>
      </c>
      <c r="W662" s="70">
        <v>1</v>
      </c>
      <c r="X662" s="70">
        <v>1</v>
      </c>
      <c r="Y662" s="70">
        <v>1</v>
      </c>
      <c r="Z662" s="70">
        <v>1</v>
      </c>
      <c r="AA662" s="71">
        <v>1</v>
      </c>
      <c r="AB662" s="70">
        <v>1</v>
      </c>
      <c r="AC662" s="70">
        <v>1</v>
      </c>
      <c r="AD662" s="70">
        <v>1</v>
      </c>
      <c r="AE662" s="70">
        <v>1</v>
      </c>
      <c r="AF662" s="69">
        <v>1</v>
      </c>
      <c r="AG662" s="70">
        <v>1</v>
      </c>
      <c r="AH662" s="70">
        <v>1</v>
      </c>
      <c r="AI662" s="70">
        <v>1</v>
      </c>
      <c r="AJ662" s="70">
        <v>1</v>
      </c>
      <c r="AK662" s="78">
        <f t="shared" si="98"/>
        <v>106.39609555612638</v>
      </c>
      <c r="AL662" s="79"/>
      <c r="AM662" s="80"/>
      <c r="AN662" s="81"/>
      <c r="AO662" s="70" t="str">
        <f>IF(head!$F$82="S460","a0","a")</f>
        <v>a</v>
      </c>
      <c r="AP662" s="70">
        <f t="shared" si="99"/>
        <v>0.21</v>
      </c>
      <c r="AQ662" s="72">
        <f>IF(head!F$82="S235",235,IF(head!F$82="S275",275,IF(head!F$82="S355",355,IF(head!F$82="S420",420,460))))^0.5*head!$G$70*1000/(S662*3.1416*210000^0.5)</f>
        <v>3.231458759049441</v>
      </c>
      <c r="AR662" s="72">
        <f t="shared" si="100"/>
        <v>6.0394660254188679</v>
      </c>
      <c r="AS662" s="72">
        <f t="shared" si="101"/>
        <v>8.9752884479927381E-2</v>
      </c>
      <c r="AT662" s="52">
        <f>IF(head!F$82="S235",235,IF(head!F$82="S275",275,IF(head!F$82="S355",355,IF(head!F$82="S420",420,460))))*AS662*J662/1000</f>
        <v>124.03983264452683</v>
      </c>
      <c r="AU662" s="192"/>
      <c r="AV662" s="52"/>
      <c r="AW662" s="52"/>
      <c r="AX662" s="105"/>
      <c r="AY662" s="52"/>
      <c r="AZ662" s="191">
        <v>0</v>
      </c>
      <c r="BA662" s="77" t="str">
        <f t="shared" si="102"/>
        <v>HF SHS 120 x 5</v>
      </c>
    </row>
    <row r="663" spans="1:53">
      <c r="A663" s="61" t="s">
        <v>141</v>
      </c>
      <c r="B663" s="62">
        <f t="shared" si="97"/>
        <v>95.620611812532331</v>
      </c>
      <c r="C663" s="63">
        <v>120</v>
      </c>
      <c r="D663" s="63">
        <v>120</v>
      </c>
      <c r="E663" s="124">
        <v>5</v>
      </c>
      <c r="F663" s="63"/>
      <c r="G663" s="63"/>
      <c r="H663" s="64">
        <v>17.8</v>
      </c>
      <c r="I663" s="65">
        <v>18.2</v>
      </c>
      <c r="J663" s="65">
        <v>2273</v>
      </c>
      <c r="K663" s="65">
        <v>0.46710000000000002</v>
      </c>
      <c r="L663" s="66">
        <v>4977000</v>
      </c>
      <c r="M663" s="67">
        <v>83000</v>
      </c>
      <c r="N663" s="67">
        <v>97600</v>
      </c>
      <c r="O663" s="68">
        <v>46.8</v>
      </c>
      <c r="P663" s="67">
        <v>4977000</v>
      </c>
      <c r="Q663" s="67">
        <v>83000</v>
      </c>
      <c r="R663" s="67">
        <v>97600</v>
      </c>
      <c r="S663" s="65">
        <v>46.8</v>
      </c>
      <c r="T663" s="66">
        <v>7874000</v>
      </c>
      <c r="U663" s="120"/>
      <c r="V663" s="69">
        <v>1</v>
      </c>
      <c r="W663" s="70">
        <v>1</v>
      </c>
      <c r="X663" s="70">
        <v>1</v>
      </c>
      <c r="Y663" s="70">
        <v>1</v>
      </c>
      <c r="Z663" s="70">
        <v>1</v>
      </c>
      <c r="AA663" s="71">
        <v>1</v>
      </c>
      <c r="AB663" s="70">
        <v>1</v>
      </c>
      <c r="AC663" s="70">
        <v>1</v>
      </c>
      <c r="AD663" s="70">
        <v>1</v>
      </c>
      <c r="AE663" s="70">
        <v>1</v>
      </c>
      <c r="AF663" s="69">
        <v>1</v>
      </c>
      <c r="AG663" s="70">
        <v>1</v>
      </c>
      <c r="AH663" s="70">
        <v>1</v>
      </c>
      <c r="AI663" s="70">
        <v>1</v>
      </c>
      <c r="AJ663" s="70">
        <v>1</v>
      </c>
      <c r="AK663" s="78">
        <f t="shared" si="98"/>
        <v>205.49934007919049</v>
      </c>
      <c r="AL663" s="79"/>
      <c r="AM663" s="80"/>
      <c r="AN663" s="81"/>
      <c r="AO663" s="70" t="str">
        <f>IF(head!$F$82="S460","a0","a")</f>
        <v>a</v>
      </c>
      <c r="AP663" s="70">
        <f t="shared" si="99"/>
        <v>0.21</v>
      </c>
      <c r="AQ663" s="72">
        <f>IF(head!F$82="S235",235,IF(head!F$82="S275",275,IF(head!F$82="S355",355,IF(head!F$82="S420",420,460))))^0.5*head!$G$70*1000/(S663*3.1416*210000^0.5)</f>
        <v>2.7964546953312475</v>
      </c>
      <c r="AR663" s="72">
        <f t="shared" si="100"/>
        <v>4.6827071745298712</v>
      </c>
      <c r="AS663" s="72">
        <f t="shared" si="101"/>
        <v>0.11850146770419726</v>
      </c>
      <c r="AT663" s="52">
        <f>IF(head!F$82="S235",235,IF(head!F$82="S275",275,IF(head!F$82="S355",355,IF(head!F$82="S420",420,460))))*AS663*J663/1000</f>
        <v>95.620611812532331</v>
      </c>
      <c r="AU663" s="192"/>
      <c r="AV663" s="52"/>
      <c r="AW663" s="52"/>
      <c r="AX663" s="105"/>
      <c r="AY663" s="52"/>
      <c r="AZ663" s="191">
        <v>0</v>
      </c>
      <c r="BA663" s="77" t="str">
        <f t="shared" si="102"/>
        <v>HF SHS 120 x 6,3</v>
      </c>
    </row>
    <row r="664" spans="1:53">
      <c r="A664" s="61" t="s">
        <v>770</v>
      </c>
      <c r="B664" s="62">
        <f t="shared" si="97"/>
        <v>115.86050018665571</v>
      </c>
      <c r="C664" s="63">
        <v>120</v>
      </c>
      <c r="D664" s="63">
        <v>120</v>
      </c>
      <c r="E664" s="124">
        <v>6.3</v>
      </c>
      <c r="F664" s="63"/>
      <c r="G664" s="63"/>
      <c r="H664" s="64">
        <v>22.2</v>
      </c>
      <c r="I664" s="65">
        <v>22.6</v>
      </c>
      <c r="J664" s="65">
        <v>2823</v>
      </c>
      <c r="K664" s="65">
        <v>0.46379999999999999</v>
      </c>
      <c r="L664" s="66">
        <v>6029000</v>
      </c>
      <c r="M664" s="67">
        <v>100500</v>
      </c>
      <c r="N664" s="67">
        <v>119600</v>
      </c>
      <c r="O664" s="68">
        <v>46.2</v>
      </c>
      <c r="P664" s="67">
        <v>6029000</v>
      </c>
      <c r="Q664" s="67">
        <v>100500</v>
      </c>
      <c r="R664" s="67">
        <v>119600</v>
      </c>
      <c r="S664" s="65">
        <v>46.2</v>
      </c>
      <c r="T664" s="66">
        <v>9670000</v>
      </c>
      <c r="U664" s="120"/>
      <c r="V664" s="69">
        <v>1</v>
      </c>
      <c r="W664" s="70">
        <v>1</v>
      </c>
      <c r="X664" s="70">
        <v>1</v>
      </c>
      <c r="Y664" s="70">
        <v>1</v>
      </c>
      <c r="Z664" s="70">
        <v>1</v>
      </c>
      <c r="AA664" s="71">
        <v>1</v>
      </c>
      <c r="AB664" s="70">
        <v>1</v>
      </c>
      <c r="AC664" s="70">
        <v>1</v>
      </c>
      <c r="AD664" s="70">
        <v>1</v>
      </c>
      <c r="AE664" s="70">
        <v>1</v>
      </c>
      <c r="AF664" s="69">
        <v>1</v>
      </c>
      <c r="AG664" s="70">
        <v>1</v>
      </c>
      <c r="AH664" s="70">
        <v>1</v>
      </c>
      <c r="AI664" s="70">
        <v>1</v>
      </c>
      <c r="AJ664" s="70">
        <v>1</v>
      </c>
      <c r="AK664" s="78">
        <f t="shared" si="98"/>
        <v>164.29330499468651</v>
      </c>
      <c r="AL664" s="79"/>
      <c r="AM664" s="80"/>
      <c r="AN664" s="81"/>
      <c r="AO664" s="70" t="str">
        <f>IF(head!$F$82="S460","a0","a")</f>
        <v>a</v>
      </c>
      <c r="AP664" s="70">
        <f t="shared" si="99"/>
        <v>0.21</v>
      </c>
      <c r="AQ664" s="72">
        <f>IF(head!F$82="S235",235,IF(head!F$82="S275",275,IF(head!F$82="S355",355,IF(head!F$82="S420",420,460))))^0.5*head!$G$70*1000/(S664*3.1416*210000^0.5)</f>
        <v>2.832772288777107</v>
      </c>
      <c r="AR664" s="72">
        <f t="shared" si="100"/>
        <v>4.7887405103533407</v>
      </c>
      <c r="AS664" s="72">
        <f t="shared" si="101"/>
        <v>0.11561020409479049</v>
      </c>
      <c r="AT664" s="52">
        <f>IF(head!F$82="S235",235,IF(head!F$82="S275",275,IF(head!F$82="S355",355,IF(head!F$82="S420",420,460))))*AS664*J664/1000</f>
        <v>115.86050018665571</v>
      </c>
      <c r="AU664" s="192"/>
      <c r="AV664" s="52"/>
      <c r="AW664" s="52"/>
      <c r="AX664" s="105"/>
      <c r="AY664" s="52"/>
      <c r="AZ664" s="191">
        <v>0</v>
      </c>
      <c r="BA664" s="77" t="str">
        <f t="shared" si="102"/>
        <v>HF SHS 120 x 7,1</v>
      </c>
    </row>
    <row r="665" spans="1:53">
      <c r="A665" s="61" t="s">
        <v>771</v>
      </c>
      <c r="B665" s="62">
        <f t="shared" si="97"/>
        <v>127.75889646606878</v>
      </c>
      <c r="C665" s="63">
        <v>120</v>
      </c>
      <c r="D665" s="63">
        <v>120</v>
      </c>
      <c r="E665" s="124">
        <v>7.1</v>
      </c>
      <c r="F665" s="63"/>
      <c r="G665" s="63"/>
      <c r="H665" s="64">
        <v>24.7</v>
      </c>
      <c r="I665" s="65">
        <v>25.2</v>
      </c>
      <c r="J665" s="65">
        <v>3152</v>
      </c>
      <c r="K665" s="65">
        <v>0.4617</v>
      </c>
      <c r="L665" s="66">
        <v>6629000</v>
      </c>
      <c r="M665" s="67">
        <v>110500</v>
      </c>
      <c r="N665" s="67">
        <v>132500</v>
      </c>
      <c r="O665" s="68">
        <v>45.9</v>
      </c>
      <c r="P665" s="67">
        <v>6629000</v>
      </c>
      <c r="Q665" s="67">
        <v>110500</v>
      </c>
      <c r="R665" s="67">
        <v>132500</v>
      </c>
      <c r="S665" s="65">
        <v>45.9</v>
      </c>
      <c r="T665" s="66">
        <v>10723000</v>
      </c>
      <c r="U665" s="120"/>
      <c r="V665" s="69">
        <v>1</v>
      </c>
      <c r="W665" s="70">
        <v>1</v>
      </c>
      <c r="X665" s="70">
        <v>1</v>
      </c>
      <c r="Y665" s="70">
        <v>1</v>
      </c>
      <c r="Z665" s="70">
        <v>1</v>
      </c>
      <c r="AA665" s="71">
        <v>1</v>
      </c>
      <c r="AB665" s="70">
        <v>1</v>
      </c>
      <c r="AC665" s="70">
        <v>1</v>
      </c>
      <c r="AD665" s="70">
        <v>1</v>
      </c>
      <c r="AE665" s="70">
        <v>1</v>
      </c>
      <c r="AF665" s="69">
        <v>1</v>
      </c>
      <c r="AG665" s="70">
        <v>1</v>
      </c>
      <c r="AH665" s="70">
        <v>1</v>
      </c>
      <c r="AI665" s="70">
        <v>1</v>
      </c>
      <c r="AJ665" s="70">
        <v>1</v>
      </c>
      <c r="AK665" s="78">
        <f t="shared" si="98"/>
        <v>146.47842639593907</v>
      </c>
      <c r="AL665" s="79"/>
      <c r="AM665" s="80"/>
      <c r="AN665" s="81"/>
      <c r="AO665" s="70" t="str">
        <f>IF(head!$F$82="S460","a0","a")</f>
        <v>a</v>
      </c>
      <c r="AP665" s="70">
        <f t="shared" si="99"/>
        <v>0.21</v>
      </c>
      <c r="AQ665" s="72">
        <f>IF(head!F$82="S235",235,IF(head!F$82="S275",275,IF(head!F$82="S355",355,IF(head!F$82="S420",420,460))))^0.5*head!$G$70*1000/(S665*3.1416*210000^0.5)</f>
        <v>2.851287140337742</v>
      </c>
      <c r="AR665" s="72">
        <f t="shared" si="100"/>
        <v>4.8433043280631516</v>
      </c>
      <c r="AS665" s="72">
        <f t="shared" si="101"/>
        <v>0.11417646427581753</v>
      </c>
      <c r="AT665" s="52">
        <f>IF(head!F$82="S235",235,IF(head!F$82="S275",275,IF(head!F$82="S355",355,IF(head!F$82="S420",420,460))))*AS665*J665/1000</f>
        <v>127.75889646606878</v>
      </c>
      <c r="AU665" s="192"/>
      <c r="AV665" s="52"/>
      <c r="AW665" s="52"/>
      <c r="AX665" s="105"/>
      <c r="AY665" s="52"/>
      <c r="AZ665" s="191">
        <v>0</v>
      </c>
      <c r="BA665" s="77" t="str">
        <f t="shared" si="102"/>
        <v>HF SHS 120 x 8</v>
      </c>
    </row>
    <row r="666" spans="1:53">
      <c r="A666" s="61" t="s">
        <v>772</v>
      </c>
      <c r="B666" s="62">
        <f t="shared" si="97"/>
        <v>140.10229455203958</v>
      </c>
      <c r="C666" s="63">
        <v>120</v>
      </c>
      <c r="D666" s="63">
        <v>120</v>
      </c>
      <c r="E666" s="124">
        <v>8</v>
      </c>
      <c r="F666" s="63"/>
      <c r="G666" s="63"/>
      <c r="H666" s="64">
        <v>27.6</v>
      </c>
      <c r="I666" s="65">
        <v>28.1</v>
      </c>
      <c r="J666" s="65">
        <v>3515</v>
      </c>
      <c r="K666" s="65">
        <v>0.45939999999999998</v>
      </c>
      <c r="L666" s="66">
        <v>7263000</v>
      </c>
      <c r="M666" s="67">
        <v>121100</v>
      </c>
      <c r="N666" s="67">
        <v>146500</v>
      </c>
      <c r="O666" s="68">
        <v>45.5</v>
      </c>
      <c r="P666" s="67">
        <v>7263000</v>
      </c>
      <c r="Q666" s="67">
        <v>121100</v>
      </c>
      <c r="R666" s="67">
        <v>146500</v>
      </c>
      <c r="S666" s="65">
        <v>45.5</v>
      </c>
      <c r="T666" s="66">
        <v>11860000</v>
      </c>
      <c r="U666" s="120"/>
      <c r="V666" s="69">
        <v>1</v>
      </c>
      <c r="W666" s="70">
        <v>1</v>
      </c>
      <c r="X666" s="70">
        <v>1</v>
      </c>
      <c r="Y666" s="70">
        <v>1</v>
      </c>
      <c r="Z666" s="70">
        <v>1</v>
      </c>
      <c r="AA666" s="71">
        <v>1</v>
      </c>
      <c r="AB666" s="70">
        <v>1</v>
      </c>
      <c r="AC666" s="70">
        <v>1</v>
      </c>
      <c r="AD666" s="70">
        <v>1</v>
      </c>
      <c r="AE666" s="70">
        <v>1</v>
      </c>
      <c r="AF666" s="69">
        <v>1</v>
      </c>
      <c r="AG666" s="70">
        <v>1</v>
      </c>
      <c r="AH666" s="70">
        <v>1</v>
      </c>
      <c r="AI666" s="70">
        <v>1</v>
      </c>
      <c r="AJ666" s="70">
        <v>1</v>
      </c>
      <c r="AK666" s="78">
        <f t="shared" si="98"/>
        <v>130.69701280227596</v>
      </c>
      <c r="AL666" s="79"/>
      <c r="AM666" s="80"/>
      <c r="AN666" s="81"/>
      <c r="AO666" s="70" t="str">
        <f>IF(head!$F$82="S460","a0","a")</f>
        <v>a</v>
      </c>
      <c r="AP666" s="70">
        <f t="shared" si="99"/>
        <v>0.21</v>
      </c>
      <c r="AQ666" s="72">
        <f>IF(head!F$82="S235",235,IF(head!F$82="S275",275,IF(head!F$82="S355",355,IF(head!F$82="S420",420,460))))^0.5*head!$G$70*1000/(S666*3.1416*210000^0.5)</f>
        <v>2.8763534009121394</v>
      </c>
      <c r="AR666" s="72">
        <f t="shared" si="100"/>
        <v>4.9177215505651892</v>
      </c>
      <c r="AS666" s="72">
        <f t="shared" si="101"/>
        <v>0.11227719796609269</v>
      </c>
      <c r="AT666" s="52">
        <f>IF(head!F$82="S235",235,IF(head!F$82="S275",275,IF(head!F$82="S355",355,IF(head!F$82="S420",420,460))))*AS666*J666/1000</f>
        <v>140.10229455203958</v>
      </c>
      <c r="AU666" s="192"/>
      <c r="AV666" s="52"/>
      <c r="AW666" s="52"/>
      <c r="AX666" s="105"/>
      <c r="AY666" s="52"/>
      <c r="AZ666" s="191">
        <v>0</v>
      </c>
      <c r="BA666" s="77" t="str">
        <f t="shared" si="102"/>
        <v>HF SHS 120 x 10</v>
      </c>
    </row>
    <row r="667" spans="1:53">
      <c r="A667" s="61" t="s">
        <v>773</v>
      </c>
      <c r="B667" s="62">
        <f t="shared" si="97"/>
        <v>164.6787871083543</v>
      </c>
      <c r="C667" s="63">
        <v>120</v>
      </c>
      <c r="D667" s="63">
        <v>120</v>
      </c>
      <c r="E667" s="124">
        <v>10</v>
      </c>
      <c r="F667" s="63"/>
      <c r="G667" s="63"/>
      <c r="H667" s="64">
        <v>33.700000000000003</v>
      </c>
      <c r="I667" s="65">
        <v>34.299999999999997</v>
      </c>
      <c r="J667" s="65">
        <v>4293</v>
      </c>
      <c r="K667" s="65">
        <v>0.45419999999999999</v>
      </c>
      <c r="L667" s="66">
        <v>8521000</v>
      </c>
      <c r="M667" s="67">
        <v>142000</v>
      </c>
      <c r="N667" s="67">
        <v>175200</v>
      </c>
      <c r="O667" s="68">
        <v>44.6</v>
      </c>
      <c r="P667" s="67">
        <v>8521000</v>
      </c>
      <c r="Q667" s="67">
        <v>142000</v>
      </c>
      <c r="R667" s="67">
        <v>175200</v>
      </c>
      <c r="S667" s="65">
        <v>44.6</v>
      </c>
      <c r="T667" s="66">
        <v>14206000</v>
      </c>
      <c r="U667" s="120"/>
      <c r="V667" s="69">
        <v>1</v>
      </c>
      <c r="W667" s="70">
        <v>1</v>
      </c>
      <c r="X667" s="70">
        <v>1</v>
      </c>
      <c r="Y667" s="70">
        <v>1</v>
      </c>
      <c r="Z667" s="70">
        <v>1</v>
      </c>
      <c r="AA667" s="71">
        <v>1</v>
      </c>
      <c r="AB667" s="70">
        <v>1</v>
      </c>
      <c r="AC667" s="70">
        <v>1</v>
      </c>
      <c r="AD667" s="70">
        <v>1</v>
      </c>
      <c r="AE667" s="70">
        <v>1</v>
      </c>
      <c r="AF667" s="69">
        <v>1</v>
      </c>
      <c r="AG667" s="70">
        <v>1</v>
      </c>
      <c r="AH667" s="70">
        <v>1</v>
      </c>
      <c r="AI667" s="70">
        <v>1</v>
      </c>
      <c r="AJ667" s="70">
        <v>1</v>
      </c>
      <c r="AK667" s="78">
        <f t="shared" si="98"/>
        <v>105.80013976240392</v>
      </c>
      <c r="AL667" s="79"/>
      <c r="AM667" s="80"/>
      <c r="AN667" s="81"/>
      <c r="AO667" s="70" t="str">
        <f>IF(head!$F$82="S460","a0","a")</f>
        <v>a</v>
      </c>
      <c r="AP667" s="70">
        <f t="shared" si="99"/>
        <v>0.21</v>
      </c>
      <c r="AQ667" s="72">
        <f>IF(head!F$82="S235",235,IF(head!F$82="S275",275,IF(head!F$82="S355",355,IF(head!F$82="S420",420,460))))^0.5*head!$G$70*1000/(S667*3.1416*210000^0.5)</f>
        <v>2.934396406760142</v>
      </c>
      <c r="AR667" s="72">
        <f t="shared" si="100"/>
        <v>5.0924527587132316</v>
      </c>
      <c r="AS667" s="72">
        <f t="shared" si="101"/>
        <v>0.10805588337933308</v>
      </c>
      <c r="AT667" s="52">
        <f>IF(head!F$82="S235",235,IF(head!F$82="S275",275,IF(head!F$82="S355",355,IF(head!F$82="S420",420,460))))*AS667*J667/1000</f>
        <v>164.6787871083543</v>
      </c>
      <c r="AU667" s="192"/>
      <c r="AV667" s="52"/>
      <c r="AW667" s="52"/>
      <c r="AX667" s="105"/>
      <c r="AY667" s="52"/>
      <c r="AZ667" s="191">
        <v>0</v>
      </c>
      <c r="BA667" s="77" t="str">
        <f t="shared" si="102"/>
        <v>HF SHS 120 x 12,5</v>
      </c>
    </row>
    <row r="668" spans="1:53">
      <c r="A668" s="61" t="s">
        <v>774</v>
      </c>
      <c r="B668" s="62">
        <f t="shared" si="97"/>
        <v>189.54448238246781</v>
      </c>
      <c r="C668" s="63">
        <v>120</v>
      </c>
      <c r="D668" s="63">
        <v>120</v>
      </c>
      <c r="E668" s="124">
        <v>12.5</v>
      </c>
      <c r="F668" s="63"/>
      <c r="G668" s="63"/>
      <c r="H668" s="64">
        <v>40.9</v>
      </c>
      <c r="I668" s="65">
        <v>41.7</v>
      </c>
      <c r="J668" s="65">
        <v>5207</v>
      </c>
      <c r="K668" s="65">
        <v>0.44779999999999998</v>
      </c>
      <c r="L668" s="66">
        <v>9818000</v>
      </c>
      <c r="M668" s="67">
        <v>163600</v>
      </c>
      <c r="N668" s="67">
        <v>206800</v>
      </c>
      <c r="O668" s="68">
        <v>43.4</v>
      </c>
      <c r="P668" s="67">
        <v>9818000</v>
      </c>
      <c r="Q668" s="67">
        <v>163600</v>
      </c>
      <c r="R668" s="67">
        <v>206800</v>
      </c>
      <c r="S668" s="65">
        <v>43.4</v>
      </c>
      <c r="T668" s="66">
        <v>16788000</v>
      </c>
      <c r="U668" s="120"/>
      <c r="V668" s="69">
        <v>1</v>
      </c>
      <c r="W668" s="70">
        <v>1</v>
      </c>
      <c r="X668" s="70">
        <v>1</v>
      </c>
      <c r="Y668" s="70">
        <v>1</v>
      </c>
      <c r="Z668" s="70">
        <v>1</v>
      </c>
      <c r="AA668" s="71">
        <v>1</v>
      </c>
      <c r="AB668" s="70">
        <v>1</v>
      </c>
      <c r="AC668" s="70">
        <v>1</v>
      </c>
      <c r="AD668" s="70">
        <v>1</v>
      </c>
      <c r="AE668" s="70">
        <v>1</v>
      </c>
      <c r="AF668" s="69">
        <v>1</v>
      </c>
      <c r="AG668" s="70">
        <v>1</v>
      </c>
      <c r="AH668" s="70">
        <v>1</v>
      </c>
      <c r="AI668" s="70">
        <v>1</v>
      </c>
      <c r="AJ668" s="70">
        <v>1</v>
      </c>
      <c r="AK668" s="78">
        <f t="shared" si="98"/>
        <v>85.999615901670822</v>
      </c>
      <c r="AL668" s="79"/>
      <c r="AM668" s="80"/>
      <c r="AN668" s="81"/>
      <c r="AO668" s="70" t="str">
        <f>IF(head!$F$82="S460","a0","a")</f>
        <v>a</v>
      </c>
      <c r="AP668" s="70">
        <f t="shared" si="99"/>
        <v>0.21</v>
      </c>
      <c r="AQ668" s="72">
        <f>IF(head!F$82="S235",235,IF(head!F$82="S275",275,IF(head!F$82="S355",355,IF(head!F$82="S420",420,460))))^0.5*head!$G$70*1000/(S668*3.1416*210000^0.5)</f>
        <v>3.0155317912788564</v>
      </c>
      <c r="AR668" s="72">
        <f t="shared" si="100"/>
        <v>5.3423468301910138</v>
      </c>
      <c r="AS668" s="72">
        <f t="shared" si="101"/>
        <v>0.10254044927736378</v>
      </c>
      <c r="AT668" s="52">
        <f>IF(head!F$82="S235",235,IF(head!F$82="S275",275,IF(head!F$82="S355",355,IF(head!F$82="S420",420,460))))*AS668*J668/1000</f>
        <v>189.54448238246781</v>
      </c>
      <c r="AU668" s="192"/>
      <c r="AV668" s="52"/>
      <c r="AW668" s="52"/>
      <c r="AX668" s="105"/>
      <c r="AY668" s="52"/>
      <c r="AZ668" s="191">
        <v>0</v>
      </c>
      <c r="BA668" s="77" t="str">
        <f t="shared" si="102"/>
        <v>HF SHS 140 x 5</v>
      </c>
    </row>
    <row r="669" spans="1:53">
      <c r="A669" s="61" t="s">
        <v>775</v>
      </c>
      <c r="B669" s="62">
        <f t="shared" si="97"/>
        <v>152.85981860163832</v>
      </c>
      <c r="C669" s="63">
        <v>140</v>
      </c>
      <c r="D669" s="63">
        <v>140</v>
      </c>
      <c r="E669" s="124">
        <v>5</v>
      </c>
      <c r="F669" s="63"/>
      <c r="G669" s="63"/>
      <c r="H669" s="64">
        <v>21</v>
      </c>
      <c r="I669" s="65">
        <v>21.4</v>
      </c>
      <c r="J669" s="65">
        <v>2673</v>
      </c>
      <c r="K669" s="65">
        <v>0.54710000000000003</v>
      </c>
      <c r="L669" s="66">
        <v>8075000</v>
      </c>
      <c r="M669" s="67">
        <v>115400</v>
      </c>
      <c r="N669" s="67">
        <v>134800</v>
      </c>
      <c r="O669" s="68">
        <v>55</v>
      </c>
      <c r="P669" s="67">
        <v>8075000</v>
      </c>
      <c r="Q669" s="67">
        <v>115400</v>
      </c>
      <c r="R669" s="67">
        <v>134800</v>
      </c>
      <c r="S669" s="65">
        <v>55</v>
      </c>
      <c r="T669" s="66">
        <v>12679000</v>
      </c>
      <c r="U669" s="120"/>
      <c r="V669" s="69">
        <v>1</v>
      </c>
      <c r="W669" s="70">
        <v>1</v>
      </c>
      <c r="X669" s="70">
        <v>1</v>
      </c>
      <c r="Y669" s="70">
        <v>1</v>
      </c>
      <c r="Z669" s="70">
        <v>2</v>
      </c>
      <c r="AA669" s="71">
        <v>1</v>
      </c>
      <c r="AB669" s="70">
        <v>1</v>
      </c>
      <c r="AC669" s="70">
        <v>2</v>
      </c>
      <c r="AD669" s="70">
        <v>2</v>
      </c>
      <c r="AE669" s="70">
        <v>3</v>
      </c>
      <c r="AF669" s="69">
        <v>1</v>
      </c>
      <c r="AG669" s="70">
        <v>1</v>
      </c>
      <c r="AH669" s="70">
        <v>1</v>
      </c>
      <c r="AI669" s="70">
        <v>1</v>
      </c>
      <c r="AJ669" s="70">
        <v>2</v>
      </c>
      <c r="AK669" s="78">
        <f t="shared" si="98"/>
        <v>204.67639356528247</v>
      </c>
      <c r="AL669" s="79"/>
      <c r="AM669" s="80"/>
      <c r="AN669" s="81"/>
      <c r="AO669" s="70" t="str">
        <f>IF(head!$F$82="S460","a0","a")</f>
        <v>a</v>
      </c>
      <c r="AP669" s="70">
        <f t="shared" si="99"/>
        <v>0.21</v>
      </c>
      <c r="AQ669" s="72">
        <f>IF(head!F$82="S235",235,IF(head!F$82="S275",275,IF(head!F$82="S355",355,IF(head!F$82="S420",420,460))))^0.5*head!$G$70*1000/(S669*3.1416*210000^0.5)</f>
        <v>2.3795287225727701</v>
      </c>
      <c r="AR669" s="72">
        <f t="shared" si="100"/>
        <v>3.5599289866445405</v>
      </c>
      <c r="AS669" s="72">
        <f t="shared" si="101"/>
        <v>0.1610890528673678</v>
      </c>
      <c r="AT669" s="52">
        <f>IF(head!F$82="S235",235,IF(head!F$82="S275",275,IF(head!F$82="S355",355,IF(head!F$82="S420",420,460))))*AS669*J669/1000</f>
        <v>152.85981860163832</v>
      </c>
      <c r="AU669" s="192"/>
      <c r="AV669" s="52"/>
      <c r="AW669" s="52"/>
      <c r="AX669" s="105"/>
      <c r="AY669" s="52"/>
      <c r="AZ669" s="191">
        <v>0</v>
      </c>
      <c r="BA669" s="77" t="str">
        <f t="shared" si="102"/>
        <v>HF SHS 140 x 6,3</v>
      </c>
    </row>
    <row r="670" spans="1:53">
      <c r="A670" s="61" t="s">
        <v>776</v>
      </c>
      <c r="B670" s="62">
        <f t="shared" si="97"/>
        <v>186.35745933054997</v>
      </c>
      <c r="C670" s="63">
        <v>140</v>
      </c>
      <c r="D670" s="63">
        <v>140</v>
      </c>
      <c r="E670" s="124">
        <v>6.3</v>
      </c>
      <c r="F670" s="63"/>
      <c r="G670" s="63"/>
      <c r="H670" s="64">
        <v>26.1</v>
      </c>
      <c r="I670" s="65">
        <v>26.6</v>
      </c>
      <c r="J670" s="65">
        <v>3327</v>
      </c>
      <c r="K670" s="65">
        <v>0.54379999999999995</v>
      </c>
      <c r="L670" s="66">
        <v>9839000</v>
      </c>
      <c r="M670" s="67">
        <v>140600</v>
      </c>
      <c r="N670" s="67">
        <v>166000</v>
      </c>
      <c r="O670" s="68">
        <v>54.4</v>
      </c>
      <c r="P670" s="67">
        <v>9839000</v>
      </c>
      <c r="Q670" s="67">
        <v>140600</v>
      </c>
      <c r="R670" s="67">
        <v>166000</v>
      </c>
      <c r="S670" s="65">
        <v>54.4</v>
      </c>
      <c r="T670" s="66">
        <v>15632000</v>
      </c>
      <c r="U670" s="120"/>
      <c r="V670" s="69">
        <v>1</v>
      </c>
      <c r="W670" s="70">
        <v>1</v>
      </c>
      <c r="X670" s="70">
        <v>1</v>
      </c>
      <c r="Y670" s="70">
        <v>1</v>
      </c>
      <c r="Z670" s="70">
        <v>1</v>
      </c>
      <c r="AA670" s="71">
        <v>1</v>
      </c>
      <c r="AB670" s="70">
        <v>1</v>
      </c>
      <c r="AC670" s="70">
        <v>1</v>
      </c>
      <c r="AD670" s="70">
        <v>1</v>
      </c>
      <c r="AE670" s="70">
        <v>1</v>
      </c>
      <c r="AF670" s="69">
        <v>1</v>
      </c>
      <c r="AG670" s="70">
        <v>1</v>
      </c>
      <c r="AH670" s="70">
        <v>1</v>
      </c>
      <c r="AI670" s="70">
        <v>1</v>
      </c>
      <c r="AJ670" s="70">
        <v>1</v>
      </c>
      <c r="AK670" s="78">
        <f t="shared" si="98"/>
        <v>163.45055605650737</v>
      </c>
      <c r="AL670" s="79"/>
      <c r="AM670" s="80"/>
      <c r="AN670" s="81"/>
      <c r="AO670" s="70" t="str">
        <f>IF(head!$F$82="S460","a0","a")</f>
        <v>a</v>
      </c>
      <c r="AP670" s="70">
        <f t="shared" si="99"/>
        <v>0.21</v>
      </c>
      <c r="AQ670" s="72">
        <f>IF(head!F$82="S235",235,IF(head!F$82="S275",275,IF(head!F$82="S355",355,IF(head!F$82="S420",420,460))))^0.5*head!$G$70*1000/(S670*3.1416*210000^0.5)</f>
        <v>2.4057735246599696</v>
      </c>
      <c r="AR670" s="72">
        <f t="shared" si="100"/>
        <v>3.6254793460667236</v>
      </c>
      <c r="AS670" s="72">
        <f t="shared" si="101"/>
        <v>0.15778496833890021</v>
      </c>
      <c r="AT670" s="52">
        <f>IF(head!F$82="S235",235,IF(head!F$82="S275",275,IF(head!F$82="S355",355,IF(head!F$82="S420",420,460))))*AS670*J670/1000</f>
        <v>186.35745933054997</v>
      </c>
      <c r="AU670" s="192"/>
      <c r="AV670" s="52"/>
      <c r="AW670" s="52"/>
      <c r="AX670" s="105"/>
      <c r="AY670" s="52"/>
      <c r="AZ670" s="191">
        <v>0</v>
      </c>
      <c r="BA670" s="77" t="str">
        <f t="shared" si="102"/>
        <v>HF SHS 140 x 7,1</v>
      </c>
    </row>
    <row r="671" spans="1:53">
      <c r="A671" s="61" t="s">
        <v>777</v>
      </c>
      <c r="B671" s="62">
        <f t="shared" si="97"/>
        <v>205.48300462953512</v>
      </c>
      <c r="C671" s="63">
        <v>140</v>
      </c>
      <c r="D671" s="63">
        <v>140</v>
      </c>
      <c r="E671" s="124">
        <v>7.1</v>
      </c>
      <c r="F671" s="63"/>
      <c r="G671" s="63"/>
      <c r="H671" s="64">
        <v>29.2</v>
      </c>
      <c r="I671" s="65">
        <v>29.8</v>
      </c>
      <c r="J671" s="65">
        <v>3720</v>
      </c>
      <c r="K671" s="65">
        <v>0.54169999999999996</v>
      </c>
      <c r="L671" s="66">
        <v>10860000</v>
      </c>
      <c r="M671" s="67">
        <v>155100</v>
      </c>
      <c r="N671" s="67">
        <v>184400</v>
      </c>
      <c r="O671" s="68">
        <v>54</v>
      </c>
      <c r="P671" s="67">
        <v>10860000</v>
      </c>
      <c r="Q671" s="67">
        <v>155100</v>
      </c>
      <c r="R671" s="67">
        <v>184400</v>
      </c>
      <c r="S671" s="65">
        <v>54</v>
      </c>
      <c r="T671" s="66">
        <v>17380000</v>
      </c>
      <c r="U671" s="120"/>
      <c r="V671" s="69">
        <v>1</v>
      </c>
      <c r="W671" s="70">
        <v>1</v>
      </c>
      <c r="X671" s="70">
        <v>1</v>
      </c>
      <c r="Y671" s="70">
        <v>1</v>
      </c>
      <c r="Z671" s="70">
        <v>1</v>
      </c>
      <c r="AA671" s="71">
        <v>1</v>
      </c>
      <c r="AB671" s="70">
        <v>1</v>
      </c>
      <c r="AC671" s="70">
        <v>1</v>
      </c>
      <c r="AD671" s="70">
        <v>1</v>
      </c>
      <c r="AE671" s="70">
        <v>1</v>
      </c>
      <c r="AF671" s="69">
        <v>1</v>
      </c>
      <c r="AG671" s="70">
        <v>1</v>
      </c>
      <c r="AH671" s="70">
        <v>1</v>
      </c>
      <c r="AI671" s="70">
        <v>1</v>
      </c>
      <c r="AJ671" s="70">
        <v>1</v>
      </c>
      <c r="AK671" s="78">
        <f t="shared" si="98"/>
        <v>145.61827956989245</v>
      </c>
      <c r="AL671" s="79"/>
      <c r="AM671" s="80"/>
      <c r="AN671" s="81"/>
      <c r="AO671" s="70" t="str">
        <f>IF(head!$F$82="S460","a0","a")</f>
        <v>a</v>
      </c>
      <c r="AP671" s="70">
        <f t="shared" si="99"/>
        <v>0.21</v>
      </c>
      <c r="AQ671" s="72">
        <f>IF(head!F$82="S235",235,IF(head!F$82="S275",275,IF(head!F$82="S355",355,IF(head!F$82="S420",420,460))))^0.5*head!$G$70*1000/(S671*3.1416*210000^0.5)</f>
        <v>2.423594069287081</v>
      </c>
      <c r="AR671" s="72">
        <f t="shared" si="100"/>
        <v>3.6703814836168993</v>
      </c>
      <c r="AS671" s="72">
        <f t="shared" si="101"/>
        <v>0.15559821643914515</v>
      </c>
      <c r="AT671" s="52">
        <f>IF(head!F$82="S235",235,IF(head!F$82="S275",275,IF(head!F$82="S355",355,IF(head!F$82="S420",420,460))))*AS671*J671/1000</f>
        <v>205.48300462953512</v>
      </c>
      <c r="AU671" s="192"/>
      <c r="AV671" s="52"/>
      <c r="AW671" s="52"/>
      <c r="AX671" s="105"/>
      <c r="AY671" s="52"/>
      <c r="AZ671" s="191">
        <v>0</v>
      </c>
      <c r="BA671" s="77" t="str">
        <f t="shared" si="102"/>
        <v>HF SHS 140 x 8</v>
      </c>
    </row>
    <row r="672" spans="1:53">
      <c r="A672" s="61" t="s">
        <v>778</v>
      </c>
      <c r="B672" s="62">
        <f t="shared" si="97"/>
        <v>226.30471510952447</v>
      </c>
      <c r="C672" s="63">
        <v>140</v>
      </c>
      <c r="D672" s="63">
        <v>140</v>
      </c>
      <c r="E672" s="124">
        <v>8</v>
      </c>
      <c r="F672" s="63"/>
      <c r="G672" s="63"/>
      <c r="H672" s="64">
        <v>32.6</v>
      </c>
      <c r="I672" s="65">
        <v>33.200000000000003</v>
      </c>
      <c r="J672" s="65">
        <v>4155</v>
      </c>
      <c r="K672" s="65">
        <v>0.53939999999999999</v>
      </c>
      <c r="L672" s="66">
        <v>11950000</v>
      </c>
      <c r="M672" s="67">
        <v>170700</v>
      </c>
      <c r="N672" s="67">
        <v>204300</v>
      </c>
      <c r="O672" s="68">
        <v>53.6</v>
      </c>
      <c r="P672" s="67">
        <v>11950000</v>
      </c>
      <c r="Q672" s="67">
        <v>170700</v>
      </c>
      <c r="R672" s="67">
        <v>204300</v>
      </c>
      <c r="S672" s="65">
        <v>53.6</v>
      </c>
      <c r="T672" s="66">
        <v>19281000</v>
      </c>
      <c r="U672" s="120"/>
      <c r="V672" s="69">
        <v>1</v>
      </c>
      <c r="W672" s="70">
        <v>1</v>
      </c>
      <c r="X672" s="70">
        <v>1</v>
      </c>
      <c r="Y672" s="70">
        <v>1</v>
      </c>
      <c r="Z672" s="70">
        <v>1</v>
      </c>
      <c r="AA672" s="71">
        <v>1</v>
      </c>
      <c r="AB672" s="70">
        <v>1</v>
      </c>
      <c r="AC672" s="70">
        <v>1</v>
      </c>
      <c r="AD672" s="70">
        <v>1</v>
      </c>
      <c r="AE672" s="70">
        <v>1</v>
      </c>
      <c r="AF672" s="69">
        <v>1</v>
      </c>
      <c r="AG672" s="70">
        <v>1</v>
      </c>
      <c r="AH672" s="70">
        <v>1</v>
      </c>
      <c r="AI672" s="70">
        <v>1</v>
      </c>
      <c r="AJ672" s="70">
        <v>1</v>
      </c>
      <c r="AK672" s="78">
        <f t="shared" si="98"/>
        <v>129.81949458483754</v>
      </c>
      <c r="AL672" s="79"/>
      <c r="AM672" s="80"/>
      <c r="AN672" s="81"/>
      <c r="AO672" s="70" t="str">
        <f>IF(head!$F$82="S460","a0","a")</f>
        <v>a</v>
      </c>
      <c r="AP672" s="70">
        <f t="shared" si="99"/>
        <v>0.21</v>
      </c>
      <c r="AQ672" s="72">
        <f>IF(head!F$82="S235",235,IF(head!F$82="S275",275,IF(head!F$82="S355",355,IF(head!F$82="S420",420,460))))^0.5*head!$G$70*1000/(S672*3.1416*210000^0.5)</f>
        <v>2.4416805921922085</v>
      </c>
      <c r="AR672" s="72">
        <f t="shared" si="100"/>
        <v>3.7162785193242285</v>
      </c>
      <c r="AS672" s="72">
        <f t="shared" si="101"/>
        <v>0.15342432508569309</v>
      </c>
      <c r="AT672" s="52">
        <f>IF(head!F$82="S235",235,IF(head!F$82="S275",275,IF(head!F$82="S355",355,IF(head!F$82="S420",420,460))))*AS672*J672/1000</f>
        <v>226.30471510952447</v>
      </c>
      <c r="AU672" s="192"/>
      <c r="AV672" s="52"/>
      <c r="AW672" s="52"/>
      <c r="AX672" s="105"/>
      <c r="AY672" s="52"/>
      <c r="AZ672" s="191">
        <v>0</v>
      </c>
      <c r="BA672" s="77" t="str">
        <f t="shared" si="102"/>
        <v>HF SHS 140 x 10</v>
      </c>
    </row>
    <row r="673" spans="1:53">
      <c r="A673" s="61" t="s">
        <v>779</v>
      </c>
      <c r="B673" s="62">
        <f t="shared" si="97"/>
        <v>268.63569367330479</v>
      </c>
      <c r="C673" s="63">
        <v>140</v>
      </c>
      <c r="D673" s="63">
        <v>140</v>
      </c>
      <c r="E673" s="124">
        <v>10</v>
      </c>
      <c r="F673" s="63"/>
      <c r="G673" s="63"/>
      <c r="H673" s="64">
        <v>40</v>
      </c>
      <c r="I673" s="65">
        <v>40.700000000000003</v>
      </c>
      <c r="J673" s="65">
        <v>5093</v>
      </c>
      <c r="K673" s="65">
        <v>0.53420000000000001</v>
      </c>
      <c r="L673" s="66">
        <v>14161000</v>
      </c>
      <c r="M673" s="67">
        <v>202300</v>
      </c>
      <c r="N673" s="67">
        <v>246100</v>
      </c>
      <c r="O673" s="68">
        <v>52.7</v>
      </c>
      <c r="P673" s="67">
        <v>14161000</v>
      </c>
      <c r="Q673" s="67">
        <v>202300</v>
      </c>
      <c r="R673" s="67">
        <v>246100</v>
      </c>
      <c r="S673" s="65">
        <v>52.7</v>
      </c>
      <c r="T673" s="66">
        <v>23261000</v>
      </c>
      <c r="U673" s="120"/>
      <c r="V673" s="69">
        <v>1</v>
      </c>
      <c r="W673" s="70">
        <v>1</v>
      </c>
      <c r="X673" s="70">
        <v>1</v>
      </c>
      <c r="Y673" s="70">
        <v>1</v>
      </c>
      <c r="Z673" s="70">
        <v>1</v>
      </c>
      <c r="AA673" s="71">
        <v>1</v>
      </c>
      <c r="AB673" s="70">
        <v>1</v>
      </c>
      <c r="AC673" s="70">
        <v>1</v>
      </c>
      <c r="AD673" s="70">
        <v>1</v>
      </c>
      <c r="AE673" s="70">
        <v>1</v>
      </c>
      <c r="AF673" s="69">
        <v>1</v>
      </c>
      <c r="AG673" s="70">
        <v>1</v>
      </c>
      <c r="AH673" s="70">
        <v>1</v>
      </c>
      <c r="AI673" s="70">
        <v>1</v>
      </c>
      <c r="AJ673" s="70">
        <v>1</v>
      </c>
      <c r="AK673" s="78">
        <f t="shared" si="98"/>
        <v>104.88906342038092</v>
      </c>
      <c r="AL673" s="79"/>
      <c r="AM673" s="80"/>
      <c r="AN673" s="81"/>
      <c r="AO673" s="70" t="str">
        <f>IF(head!$F$82="S460","a0","a")</f>
        <v>a</v>
      </c>
      <c r="AP673" s="70">
        <f t="shared" si="99"/>
        <v>0.21</v>
      </c>
      <c r="AQ673" s="72">
        <f>IF(head!F$82="S235",235,IF(head!F$82="S275",275,IF(head!F$82="S355",355,IF(head!F$82="S420",420,460))))^0.5*head!$G$70*1000/(S673*3.1416*210000^0.5)</f>
        <v>2.4833791222296462</v>
      </c>
      <c r="AR673" s="72">
        <f t="shared" si="100"/>
        <v>3.8233407401971569</v>
      </c>
      <c r="AS673" s="72">
        <f t="shared" si="101"/>
        <v>0.14858045628675912</v>
      </c>
      <c r="AT673" s="52">
        <f>IF(head!F$82="S235",235,IF(head!F$82="S275",275,IF(head!F$82="S355",355,IF(head!F$82="S420",420,460))))*AS673*J673/1000</f>
        <v>268.63569367330479</v>
      </c>
      <c r="AU673" s="192"/>
      <c r="AV673" s="52"/>
      <c r="AW673" s="52"/>
      <c r="AX673" s="105"/>
      <c r="AY673" s="52"/>
      <c r="AZ673" s="191">
        <v>0</v>
      </c>
      <c r="BA673" s="77" t="str">
        <f t="shared" si="102"/>
        <v>HF SHS 140 x 12,5</v>
      </c>
    </row>
    <row r="674" spans="1:53">
      <c r="A674" s="61" t="s">
        <v>780</v>
      </c>
      <c r="B674" s="62">
        <f t="shared" si="97"/>
        <v>314.54798270320344</v>
      </c>
      <c r="C674" s="63">
        <v>140</v>
      </c>
      <c r="D674" s="63">
        <v>140</v>
      </c>
      <c r="E674" s="124">
        <v>12.5</v>
      </c>
      <c r="F674" s="63"/>
      <c r="G674" s="63"/>
      <c r="H674" s="64">
        <v>48.7</v>
      </c>
      <c r="I674" s="65">
        <v>49.7</v>
      </c>
      <c r="J674" s="65">
        <v>6207</v>
      </c>
      <c r="K674" s="65">
        <v>0.52780000000000005</v>
      </c>
      <c r="L674" s="66">
        <v>16530000</v>
      </c>
      <c r="M674" s="67">
        <v>236100</v>
      </c>
      <c r="N674" s="67">
        <v>293300</v>
      </c>
      <c r="O674" s="68">
        <v>51.6</v>
      </c>
      <c r="P674" s="67">
        <v>16530000</v>
      </c>
      <c r="Q674" s="67">
        <v>236100</v>
      </c>
      <c r="R674" s="67">
        <v>293300</v>
      </c>
      <c r="S674" s="65">
        <v>51.6</v>
      </c>
      <c r="T674" s="66">
        <v>27760000</v>
      </c>
      <c r="U674" s="120"/>
      <c r="V674" s="69">
        <v>1</v>
      </c>
      <c r="W674" s="70">
        <v>1</v>
      </c>
      <c r="X674" s="70">
        <v>1</v>
      </c>
      <c r="Y674" s="70">
        <v>1</v>
      </c>
      <c r="Z674" s="70">
        <v>1</v>
      </c>
      <c r="AA674" s="71">
        <v>1</v>
      </c>
      <c r="AB674" s="70">
        <v>1</v>
      </c>
      <c r="AC674" s="70">
        <v>1</v>
      </c>
      <c r="AD674" s="70">
        <v>1</v>
      </c>
      <c r="AE674" s="70">
        <v>1</v>
      </c>
      <c r="AF674" s="69">
        <v>1</v>
      </c>
      <c r="AG674" s="70">
        <v>1</v>
      </c>
      <c r="AH674" s="70">
        <v>1</v>
      </c>
      <c r="AI674" s="70">
        <v>1</v>
      </c>
      <c r="AJ674" s="70">
        <v>1</v>
      </c>
      <c r="AK674" s="78">
        <f t="shared" si="98"/>
        <v>85.033027227323998</v>
      </c>
      <c r="AL674" s="79"/>
      <c r="AM674" s="80"/>
      <c r="AN674" s="81"/>
      <c r="AO674" s="70" t="str">
        <f>IF(head!$F$82="S460","a0","a")</f>
        <v>a</v>
      </c>
      <c r="AP674" s="70">
        <f t="shared" si="99"/>
        <v>0.21</v>
      </c>
      <c r="AQ674" s="72">
        <f>IF(head!F$82="S235",235,IF(head!F$82="S275",275,IF(head!F$82="S355",355,IF(head!F$82="S420",420,460))))^0.5*head!$G$70*1000/(S674*3.1416*210000^0.5)</f>
        <v>2.5363193748353168</v>
      </c>
      <c r="AR674" s="72">
        <f t="shared" si="100"/>
        <v>3.9617715199402141</v>
      </c>
      <c r="AS674" s="72">
        <f t="shared" si="101"/>
        <v>0.14275022643821195</v>
      </c>
      <c r="AT674" s="52">
        <f>IF(head!F$82="S235",235,IF(head!F$82="S275",275,IF(head!F$82="S355",355,IF(head!F$82="S420",420,460))))*AS674*J674/1000</f>
        <v>314.54798270320344</v>
      </c>
      <c r="AU674" s="192"/>
      <c r="AV674" s="52"/>
      <c r="AW674" s="52"/>
      <c r="AX674" s="105"/>
      <c r="AY674" s="52"/>
      <c r="AZ674" s="191">
        <v>0</v>
      </c>
      <c r="BA674" s="77" t="str">
        <f t="shared" si="102"/>
        <v>HF SHS 150 x 6,3</v>
      </c>
    </row>
    <row r="675" spans="1:53">
      <c r="A675" s="61" t="s">
        <v>781</v>
      </c>
      <c r="B675" s="62">
        <f t="shared" si="97"/>
        <v>229.87126059410204</v>
      </c>
      <c r="C675" s="63">
        <v>150</v>
      </c>
      <c r="D675" s="63">
        <v>150</v>
      </c>
      <c r="E675" s="124">
        <v>6.3</v>
      </c>
      <c r="F675" s="63"/>
      <c r="G675" s="63"/>
      <c r="H675" s="64">
        <v>28.1</v>
      </c>
      <c r="I675" s="65">
        <v>28.6</v>
      </c>
      <c r="J675" s="65">
        <v>3579</v>
      </c>
      <c r="K675" s="65">
        <v>0.58379999999999999</v>
      </c>
      <c r="L675" s="66">
        <v>12234000</v>
      </c>
      <c r="M675" s="67">
        <v>163100</v>
      </c>
      <c r="N675" s="67">
        <v>192000</v>
      </c>
      <c r="O675" s="68">
        <v>58.5</v>
      </c>
      <c r="P675" s="67">
        <v>12234000</v>
      </c>
      <c r="Q675" s="67">
        <v>163100</v>
      </c>
      <c r="R675" s="67">
        <v>192000</v>
      </c>
      <c r="S675" s="65">
        <v>58.5</v>
      </c>
      <c r="T675" s="66">
        <v>19363000</v>
      </c>
      <c r="U675" s="120"/>
      <c r="V675" s="69">
        <v>1</v>
      </c>
      <c r="W675" s="70">
        <v>1</v>
      </c>
      <c r="X675" s="70">
        <v>1</v>
      </c>
      <c r="Y675" s="70">
        <v>1</v>
      </c>
      <c r="Z675" s="70">
        <v>1</v>
      </c>
      <c r="AA675" s="71">
        <v>1</v>
      </c>
      <c r="AB675" s="70">
        <v>1</v>
      </c>
      <c r="AC675" s="70">
        <v>1</v>
      </c>
      <c r="AD675" s="70">
        <v>1</v>
      </c>
      <c r="AE675" s="70">
        <v>1</v>
      </c>
      <c r="AF675" s="69">
        <v>1</v>
      </c>
      <c r="AG675" s="70">
        <v>1</v>
      </c>
      <c r="AH675" s="70">
        <v>1</v>
      </c>
      <c r="AI675" s="70">
        <v>1</v>
      </c>
      <c r="AJ675" s="70">
        <v>1</v>
      </c>
      <c r="AK675" s="78">
        <f t="shared" si="98"/>
        <v>163.1181894383906</v>
      </c>
      <c r="AL675" s="79"/>
      <c r="AM675" s="80"/>
      <c r="AN675" s="81"/>
      <c r="AO675" s="70" t="str">
        <f>IF(head!$F$82="S460","a0","a")</f>
        <v>a</v>
      </c>
      <c r="AP675" s="70">
        <f t="shared" si="99"/>
        <v>0.21</v>
      </c>
      <c r="AQ675" s="72">
        <f>IF(head!F$82="S235",235,IF(head!F$82="S275",275,IF(head!F$82="S355",355,IF(head!F$82="S420",420,460))))^0.5*head!$G$70*1000/(S675*3.1416*210000^0.5)</f>
        <v>2.2371637562649975</v>
      </c>
      <c r="AR675" s="72">
        <f t="shared" si="100"/>
        <v>3.2163530305806818</v>
      </c>
      <c r="AS675" s="72">
        <f t="shared" si="101"/>
        <v>0.18092335225757608</v>
      </c>
      <c r="AT675" s="52">
        <f>IF(head!F$82="S235",235,IF(head!F$82="S275",275,IF(head!F$82="S355",355,IF(head!F$82="S420",420,460))))*AS675*J675/1000</f>
        <v>229.87126059410204</v>
      </c>
      <c r="AU675" s="192"/>
      <c r="AV675" s="52"/>
      <c r="AW675" s="52"/>
      <c r="AX675" s="105"/>
      <c r="AY675" s="52"/>
      <c r="AZ675" s="191">
        <v>0</v>
      </c>
      <c r="BA675" s="77" t="str">
        <f t="shared" si="102"/>
        <v>HF SHS 150 x 8</v>
      </c>
    </row>
    <row r="676" spans="1:53">
      <c r="A676" s="61" t="s">
        <v>782</v>
      </c>
      <c r="B676" s="62">
        <f t="shared" si="97"/>
        <v>280.08546989354204</v>
      </c>
      <c r="C676" s="63">
        <v>150</v>
      </c>
      <c r="D676" s="63">
        <v>150</v>
      </c>
      <c r="E676" s="124">
        <v>8</v>
      </c>
      <c r="F676" s="63"/>
      <c r="G676" s="63"/>
      <c r="H676" s="64">
        <v>35.1</v>
      </c>
      <c r="I676" s="65">
        <v>35.799999999999997</v>
      </c>
      <c r="J676" s="65">
        <v>4475</v>
      </c>
      <c r="K676" s="65">
        <v>0.57940000000000003</v>
      </c>
      <c r="L676" s="66">
        <v>14906000</v>
      </c>
      <c r="M676" s="67">
        <v>198700</v>
      </c>
      <c r="N676" s="67">
        <v>236900</v>
      </c>
      <c r="O676" s="68">
        <v>57.7</v>
      </c>
      <c r="P676" s="67">
        <v>14906000</v>
      </c>
      <c r="Q676" s="67">
        <v>198700</v>
      </c>
      <c r="R676" s="67">
        <v>236900</v>
      </c>
      <c r="S676" s="65">
        <v>57.7</v>
      </c>
      <c r="T676" s="66">
        <v>23935000</v>
      </c>
      <c r="U676" s="120"/>
      <c r="V676" s="69">
        <v>1</v>
      </c>
      <c r="W676" s="70">
        <v>1</v>
      </c>
      <c r="X676" s="70">
        <v>1</v>
      </c>
      <c r="Y676" s="70">
        <v>1</v>
      </c>
      <c r="Z676" s="70">
        <v>1</v>
      </c>
      <c r="AA676" s="71">
        <v>1</v>
      </c>
      <c r="AB676" s="70">
        <v>1</v>
      </c>
      <c r="AC676" s="70">
        <v>1</v>
      </c>
      <c r="AD676" s="70">
        <v>1</v>
      </c>
      <c r="AE676" s="70">
        <v>1</v>
      </c>
      <c r="AF676" s="69">
        <v>1</v>
      </c>
      <c r="AG676" s="70">
        <v>1</v>
      </c>
      <c r="AH676" s="70">
        <v>1</v>
      </c>
      <c r="AI676" s="70">
        <v>1</v>
      </c>
      <c r="AJ676" s="70">
        <v>1</v>
      </c>
      <c r="AK676" s="78">
        <f t="shared" si="98"/>
        <v>129.47486033519553</v>
      </c>
      <c r="AL676" s="79"/>
      <c r="AM676" s="80"/>
      <c r="AN676" s="81"/>
      <c r="AO676" s="70" t="str">
        <f>IF(head!$F$82="S460","a0","a")</f>
        <v>a</v>
      </c>
      <c r="AP676" s="70">
        <f t="shared" si="99"/>
        <v>0.21</v>
      </c>
      <c r="AQ676" s="72">
        <f>IF(head!F$82="S235",235,IF(head!F$82="S275",275,IF(head!F$82="S355",355,IF(head!F$82="S420",420,460))))^0.5*head!$G$70*1000/(S676*3.1416*210000^0.5)</f>
        <v>2.2681816246360893</v>
      </c>
      <c r="AR676" s="72">
        <f t="shared" si="100"/>
        <v>3.2894830117551943</v>
      </c>
      <c r="AS676" s="72">
        <f t="shared" si="101"/>
        <v>0.1763068501965801</v>
      </c>
      <c r="AT676" s="52">
        <f>IF(head!F$82="S235",235,IF(head!F$82="S275",275,IF(head!F$82="S355",355,IF(head!F$82="S420",420,460))))*AS676*J676/1000</f>
        <v>280.08546989354204</v>
      </c>
      <c r="AU676" s="192"/>
      <c r="AV676" s="52"/>
      <c r="AW676" s="52"/>
      <c r="AX676" s="105"/>
      <c r="AY676" s="52"/>
      <c r="AZ676" s="191">
        <v>0</v>
      </c>
      <c r="BA676" s="77" t="str">
        <f t="shared" si="102"/>
        <v>HF SHS 150 x 10</v>
      </c>
    </row>
    <row r="677" spans="1:53">
      <c r="A677" s="61" t="s">
        <v>783</v>
      </c>
      <c r="B677" s="62">
        <f t="shared" si="97"/>
        <v>333.78696055012705</v>
      </c>
      <c r="C677" s="63">
        <v>150</v>
      </c>
      <c r="D677" s="63">
        <v>150</v>
      </c>
      <c r="E677" s="124">
        <v>10</v>
      </c>
      <c r="F677" s="63"/>
      <c r="G677" s="63"/>
      <c r="H677" s="64">
        <v>43.1</v>
      </c>
      <c r="I677" s="65">
        <v>43.9</v>
      </c>
      <c r="J677" s="65">
        <v>5493</v>
      </c>
      <c r="K677" s="65">
        <v>0.57420000000000004</v>
      </c>
      <c r="L677" s="66">
        <v>17732000</v>
      </c>
      <c r="M677" s="67">
        <v>236400</v>
      </c>
      <c r="N677" s="67">
        <v>286000</v>
      </c>
      <c r="O677" s="68">
        <v>56.8</v>
      </c>
      <c r="P677" s="67">
        <v>17732000</v>
      </c>
      <c r="Q677" s="67">
        <v>236400</v>
      </c>
      <c r="R677" s="67">
        <v>286000</v>
      </c>
      <c r="S677" s="65">
        <v>56.8</v>
      </c>
      <c r="T677" s="66">
        <v>28955000</v>
      </c>
      <c r="U677" s="120"/>
      <c r="V677" s="69">
        <v>1</v>
      </c>
      <c r="W677" s="70">
        <v>1</v>
      </c>
      <c r="X677" s="70">
        <v>1</v>
      </c>
      <c r="Y677" s="70">
        <v>1</v>
      </c>
      <c r="Z677" s="70">
        <v>1</v>
      </c>
      <c r="AA677" s="71">
        <v>1</v>
      </c>
      <c r="AB677" s="70">
        <v>1</v>
      </c>
      <c r="AC677" s="70">
        <v>1</v>
      </c>
      <c r="AD677" s="70">
        <v>1</v>
      </c>
      <c r="AE677" s="70">
        <v>1</v>
      </c>
      <c r="AF677" s="69">
        <v>1</v>
      </c>
      <c r="AG677" s="70">
        <v>1</v>
      </c>
      <c r="AH677" s="70">
        <v>1</v>
      </c>
      <c r="AI677" s="70">
        <v>1</v>
      </c>
      <c r="AJ677" s="70">
        <v>1</v>
      </c>
      <c r="AK677" s="78">
        <f t="shared" si="98"/>
        <v>104.53304205352268</v>
      </c>
      <c r="AL677" s="79"/>
      <c r="AM677" s="80"/>
      <c r="AN677" s="81"/>
      <c r="AO677" s="70" t="str">
        <f>IF(head!$F$82="S460","a0","a")</f>
        <v>a</v>
      </c>
      <c r="AP677" s="70">
        <f t="shared" si="99"/>
        <v>0.21</v>
      </c>
      <c r="AQ677" s="72">
        <f>IF(head!F$82="S235",235,IF(head!F$82="S275",275,IF(head!F$82="S355",355,IF(head!F$82="S420",420,460))))^0.5*head!$G$70*1000/(S677*3.1416*210000^0.5)</f>
        <v>2.304121122209549</v>
      </c>
      <c r="AR677" s="72">
        <f t="shared" si="100"/>
        <v>3.3754197907380985</v>
      </c>
      <c r="AS677" s="72">
        <f t="shared" si="101"/>
        <v>0.17117148357839659</v>
      </c>
      <c r="AT677" s="52">
        <f>IF(head!F$82="S235",235,IF(head!F$82="S275",275,IF(head!F$82="S355",355,IF(head!F$82="S420",420,460))))*AS677*J677/1000</f>
        <v>333.78696055012705</v>
      </c>
      <c r="AU677" s="192"/>
      <c r="AV677" s="52"/>
      <c r="AW677" s="52"/>
      <c r="AX677" s="105"/>
      <c r="AY677" s="52"/>
      <c r="AZ677" s="191">
        <v>0</v>
      </c>
      <c r="BA677" s="77" t="str">
        <f t="shared" si="102"/>
        <v>HF SHS 150 x 12,5</v>
      </c>
    </row>
    <row r="678" spans="1:53">
      <c r="A678" s="61" t="s">
        <v>784</v>
      </c>
      <c r="B678" s="62">
        <f t="shared" si="97"/>
        <v>392.81457012168784</v>
      </c>
      <c r="C678" s="63">
        <v>150</v>
      </c>
      <c r="D678" s="63">
        <v>150</v>
      </c>
      <c r="E678" s="124">
        <v>12.5</v>
      </c>
      <c r="F678" s="63"/>
      <c r="G678" s="63"/>
      <c r="H678" s="64">
        <v>52.7</v>
      </c>
      <c r="I678" s="65">
        <v>53.7</v>
      </c>
      <c r="J678" s="65">
        <v>6707</v>
      </c>
      <c r="K678" s="65">
        <v>0.56779999999999997</v>
      </c>
      <c r="L678" s="66">
        <v>20804000</v>
      </c>
      <c r="M678" s="67">
        <v>277400</v>
      </c>
      <c r="N678" s="67">
        <v>342100</v>
      </c>
      <c r="O678" s="68">
        <v>55.7</v>
      </c>
      <c r="P678" s="67">
        <v>20804000</v>
      </c>
      <c r="Q678" s="67">
        <v>277400</v>
      </c>
      <c r="R678" s="67">
        <v>342100</v>
      </c>
      <c r="S678" s="65">
        <v>55.7</v>
      </c>
      <c r="T678" s="66">
        <v>34684000</v>
      </c>
      <c r="U678" s="120"/>
      <c r="V678" s="69">
        <v>1</v>
      </c>
      <c r="W678" s="70">
        <v>1</v>
      </c>
      <c r="X678" s="70">
        <v>1</v>
      </c>
      <c r="Y678" s="70">
        <v>1</v>
      </c>
      <c r="Z678" s="70">
        <v>1</v>
      </c>
      <c r="AA678" s="71">
        <v>1</v>
      </c>
      <c r="AB678" s="70">
        <v>1</v>
      </c>
      <c r="AC678" s="70">
        <v>1</v>
      </c>
      <c r="AD678" s="70">
        <v>1</v>
      </c>
      <c r="AE678" s="70">
        <v>1</v>
      </c>
      <c r="AF678" s="69">
        <v>1</v>
      </c>
      <c r="AG678" s="70">
        <v>1</v>
      </c>
      <c r="AH678" s="70">
        <v>1</v>
      </c>
      <c r="AI678" s="70">
        <v>1</v>
      </c>
      <c r="AJ678" s="70">
        <v>1</v>
      </c>
      <c r="AK678" s="78">
        <f t="shared" si="98"/>
        <v>84.657820187863422</v>
      </c>
      <c r="AL678" s="79"/>
      <c r="AM678" s="80"/>
      <c r="AN678" s="81"/>
      <c r="AO678" s="70" t="str">
        <f>IF(head!$F$82="S460","a0","a")</f>
        <v>a</v>
      </c>
      <c r="AP678" s="70">
        <f t="shared" si="99"/>
        <v>0.21</v>
      </c>
      <c r="AQ678" s="72">
        <f>IF(head!F$82="S235",235,IF(head!F$82="S275",275,IF(head!F$82="S355",355,IF(head!F$82="S420",420,460))))^0.5*head!$G$70*1000/(S678*3.1416*210000^0.5)</f>
        <v>2.3496244118761642</v>
      </c>
      <c r="AR678" s="72">
        <f t="shared" si="100"/>
        <v>3.4860780016892026</v>
      </c>
      <c r="AS678" s="72">
        <f t="shared" si="101"/>
        <v>0.16497985922703748</v>
      </c>
      <c r="AT678" s="52">
        <f>IF(head!F$82="S235",235,IF(head!F$82="S275",275,IF(head!F$82="S355",355,IF(head!F$82="S420",420,460))))*AS678*J678/1000</f>
        <v>392.81457012168784</v>
      </c>
      <c r="AU678" s="192"/>
      <c r="AV678" s="52"/>
      <c r="AW678" s="52"/>
      <c r="AX678" s="105"/>
      <c r="AY678" s="52"/>
      <c r="AZ678" s="191">
        <v>0</v>
      </c>
      <c r="BA678" s="77" t="str">
        <f t="shared" si="102"/>
        <v>HF SHS 150 x 16</v>
      </c>
    </row>
    <row r="679" spans="1:53">
      <c r="A679" s="61" t="s">
        <v>785</v>
      </c>
      <c r="B679" s="62">
        <f t="shared" si="97"/>
        <v>460.13284754494737</v>
      </c>
      <c r="C679" s="63">
        <v>150</v>
      </c>
      <c r="D679" s="63">
        <v>150</v>
      </c>
      <c r="E679" s="124">
        <v>16</v>
      </c>
      <c r="F679" s="63"/>
      <c r="G679" s="63"/>
      <c r="H679" s="64">
        <v>65.2</v>
      </c>
      <c r="I679" s="65">
        <v>66.400000000000006</v>
      </c>
      <c r="J679" s="65">
        <v>8301</v>
      </c>
      <c r="K679" s="65">
        <v>0.55879999999999996</v>
      </c>
      <c r="L679" s="66">
        <v>24300000</v>
      </c>
      <c r="M679" s="67">
        <v>324000</v>
      </c>
      <c r="N679" s="67">
        <v>410700</v>
      </c>
      <c r="O679" s="68">
        <v>54.1</v>
      </c>
      <c r="P679" s="67">
        <v>24300000</v>
      </c>
      <c r="Q679" s="67">
        <v>324000</v>
      </c>
      <c r="R679" s="67">
        <v>410700</v>
      </c>
      <c r="S679" s="65">
        <v>54.1</v>
      </c>
      <c r="T679" s="66">
        <v>41678000</v>
      </c>
      <c r="U679" s="120"/>
      <c r="V679" s="69">
        <v>1</v>
      </c>
      <c r="W679" s="70">
        <v>1</v>
      </c>
      <c r="X679" s="70">
        <v>1</v>
      </c>
      <c r="Y679" s="70">
        <v>1</v>
      </c>
      <c r="Z679" s="70">
        <v>1</v>
      </c>
      <c r="AA679" s="71">
        <v>1</v>
      </c>
      <c r="AB679" s="70">
        <v>1</v>
      </c>
      <c r="AC679" s="70">
        <v>1</v>
      </c>
      <c r="AD679" s="70">
        <v>1</v>
      </c>
      <c r="AE679" s="70">
        <v>1</v>
      </c>
      <c r="AF679" s="69">
        <v>1</v>
      </c>
      <c r="AG679" s="70">
        <v>1</v>
      </c>
      <c r="AH679" s="70">
        <v>1</v>
      </c>
      <c r="AI679" s="70">
        <v>1</v>
      </c>
      <c r="AJ679" s="70">
        <v>1</v>
      </c>
      <c r="AK679" s="78">
        <f t="shared" si="98"/>
        <v>67.317190699915656</v>
      </c>
      <c r="AL679" s="79"/>
      <c r="AM679" s="80"/>
      <c r="AN679" s="81"/>
      <c r="AO679" s="70" t="str">
        <f>IF(head!$F$82="S460","a0","a")</f>
        <v>a</v>
      </c>
      <c r="AP679" s="70">
        <f t="shared" si="99"/>
        <v>0.21</v>
      </c>
      <c r="AQ679" s="72">
        <f>IF(head!F$82="S235",235,IF(head!F$82="S275",275,IF(head!F$82="S355",355,IF(head!F$82="S420",420,460))))^0.5*head!$G$70*1000/(S679*3.1416*210000^0.5)</f>
        <v>2.4191142281238878</v>
      </c>
      <c r="AR679" s="72">
        <f t="shared" si="100"/>
        <v>3.6590638183087245</v>
      </c>
      <c r="AS679" s="72">
        <f t="shared" si="101"/>
        <v>0.15614370152075599</v>
      </c>
      <c r="AT679" s="52">
        <f>IF(head!F$82="S235",235,IF(head!F$82="S275",275,IF(head!F$82="S355",355,IF(head!F$82="S420",420,460))))*AS679*J679/1000</f>
        <v>460.13284754494737</v>
      </c>
      <c r="AU679" s="192"/>
      <c r="AV679" s="52"/>
      <c r="AW679" s="52"/>
      <c r="AX679" s="105"/>
      <c r="AY679" s="52"/>
      <c r="AZ679" s="191">
        <v>0</v>
      </c>
      <c r="BA679" s="77" t="str">
        <f t="shared" si="102"/>
        <v>HF SHS 160 x 6,3</v>
      </c>
    </row>
    <row r="680" spans="1:53">
      <c r="A680" s="61" t="s">
        <v>786</v>
      </c>
      <c r="B680" s="62">
        <f t="shared" si="97"/>
        <v>279.23924058181797</v>
      </c>
      <c r="C680" s="63">
        <v>160</v>
      </c>
      <c r="D680" s="63">
        <v>160</v>
      </c>
      <c r="E680" s="124">
        <v>6.3</v>
      </c>
      <c r="F680" s="63"/>
      <c r="G680" s="63"/>
      <c r="H680" s="64">
        <v>30.1</v>
      </c>
      <c r="I680" s="65">
        <v>30.6</v>
      </c>
      <c r="J680" s="65">
        <v>3831</v>
      </c>
      <c r="K680" s="65">
        <v>0.62380000000000002</v>
      </c>
      <c r="L680" s="66">
        <v>14988000</v>
      </c>
      <c r="M680" s="67">
        <v>187400</v>
      </c>
      <c r="N680" s="67">
        <v>219900</v>
      </c>
      <c r="O680" s="68">
        <v>62.6</v>
      </c>
      <c r="P680" s="67">
        <v>14988000</v>
      </c>
      <c r="Q680" s="67">
        <v>187400</v>
      </c>
      <c r="R680" s="67">
        <v>219900</v>
      </c>
      <c r="S680" s="65">
        <v>62.6</v>
      </c>
      <c r="T680" s="66">
        <v>23645000</v>
      </c>
      <c r="U680" s="120"/>
      <c r="V680" s="69">
        <v>1</v>
      </c>
      <c r="W680" s="70">
        <v>1</v>
      </c>
      <c r="X680" s="70">
        <v>1</v>
      </c>
      <c r="Y680" s="70">
        <v>1</v>
      </c>
      <c r="Z680" s="70">
        <v>1</v>
      </c>
      <c r="AA680" s="71">
        <v>1</v>
      </c>
      <c r="AB680" s="70">
        <v>1</v>
      </c>
      <c r="AC680" s="70">
        <v>1</v>
      </c>
      <c r="AD680" s="70">
        <v>2</v>
      </c>
      <c r="AE680" s="70">
        <v>2</v>
      </c>
      <c r="AF680" s="69">
        <v>1</v>
      </c>
      <c r="AG680" s="70">
        <v>1</v>
      </c>
      <c r="AH680" s="70">
        <v>1</v>
      </c>
      <c r="AI680" s="70">
        <v>1</v>
      </c>
      <c r="AJ680" s="70">
        <v>1</v>
      </c>
      <c r="AK680" s="78">
        <f t="shared" si="98"/>
        <v>162.82954842077785</v>
      </c>
      <c r="AL680" s="79"/>
      <c r="AM680" s="80"/>
      <c r="AN680" s="81"/>
      <c r="AO680" s="70" t="str">
        <f>IF(head!$F$82="S460","a0","a")</f>
        <v>a</v>
      </c>
      <c r="AP680" s="70">
        <f t="shared" si="99"/>
        <v>0.21</v>
      </c>
      <c r="AQ680" s="72">
        <f>IF(head!F$82="S235",235,IF(head!F$82="S275",275,IF(head!F$82="S355",355,IF(head!F$82="S420",420,460))))^0.5*head!$G$70*1000/(S680*3.1416*210000^0.5)</f>
        <v>2.0906402514616991</v>
      </c>
      <c r="AR680" s="72">
        <f t="shared" si="100"/>
        <v>2.8839055569193968</v>
      </c>
      <c r="AS680" s="72">
        <f t="shared" si="101"/>
        <v>0.20532221615495383</v>
      </c>
      <c r="AT680" s="52">
        <f>IF(head!F$82="S235",235,IF(head!F$82="S275",275,IF(head!F$82="S355",355,IF(head!F$82="S420",420,460))))*AS680*J680/1000</f>
        <v>279.23924058181797</v>
      </c>
      <c r="AU680" s="192"/>
      <c r="AV680" s="52"/>
      <c r="AW680" s="52"/>
      <c r="AX680" s="105"/>
      <c r="AY680" s="52"/>
      <c r="AZ680" s="191">
        <v>0</v>
      </c>
      <c r="BA680" s="77" t="str">
        <f t="shared" si="102"/>
        <v>HF SHS 160 x 8</v>
      </c>
    </row>
    <row r="681" spans="1:53">
      <c r="A681" s="61" t="s">
        <v>787</v>
      </c>
      <c r="B681" s="62">
        <f t="shared" si="97"/>
        <v>341.23944767802675</v>
      </c>
      <c r="C681" s="63">
        <v>160</v>
      </c>
      <c r="D681" s="63">
        <v>160</v>
      </c>
      <c r="E681" s="124">
        <v>8</v>
      </c>
      <c r="F681" s="63"/>
      <c r="G681" s="63"/>
      <c r="H681" s="64">
        <v>37.6</v>
      </c>
      <c r="I681" s="65">
        <v>38.4</v>
      </c>
      <c r="J681" s="65">
        <v>4795</v>
      </c>
      <c r="K681" s="65">
        <v>0.61939999999999995</v>
      </c>
      <c r="L681" s="66">
        <v>18313000</v>
      </c>
      <c r="M681" s="67">
        <v>228900</v>
      </c>
      <c r="N681" s="67">
        <v>271800</v>
      </c>
      <c r="O681" s="68">
        <v>61.8</v>
      </c>
      <c r="P681" s="67">
        <v>18313000</v>
      </c>
      <c r="Q681" s="67">
        <v>228900</v>
      </c>
      <c r="R681" s="67">
        <v>271800</v>
      </c>
      <c r="S681" s="65">
        <v>61.8</v>
      </c>
      <c r="T681" s="66">
        <v>29281000</v>
      </c>
      <c r="U681" s="120"/>
      <c r="V681" s="69">
        <v>1</v>
      </c>
      <c r="W681" s="70">
        <v>1</v>
      </c>
      <c r="X681" s="70">
        <v>1</v>
      </c>
      <c r="Y681" s="70">
        <v>1</v>
      </c>
      <c r="Z681" s="70">
        <v>1</v>
      </c>
      <c r="AA681" s="71">
        <v>1</v>
      </c>
      <c r="AB681" s="70">
        <v>1</v>
      </c>
      <c r="AC681" s="70">
        <v>1</v>
      </c>
      <c r="AD681" s="70">
        <v>1</v>
      </c>
      <c r="AE681" s="70">
        <v>1</v>
      </c>
      <c r="AF681" s="69">
        <v>1</v>
      </c>
      <c r="AG681" s="70">
        <v>1</v>
      </c>
      <c r="AH681" s="70">
        <v>1</v>
      </c>
      <c r="AI681" s="70">
        <v>1</v>
      </c>
      <c r="AJ681" s="70">
        <v>1</v>
      </c>
      <c r="AK681" s="78">
        <f t="shared" si="98"/>
        <v>129.17622523461938</v>
      </c>
      <c r="AL681" s="79"/>
      <c r="AM681" s="80"/>
      <c r="AN681" s="81"/>
      <c r="AO681" s="70" t="str">
        <f>IF(head!$F$82="S460","a0","a")</f>
        <v>a</v>
      </c>
      <c r="AP681" s="70">
        <f t="shared" si="99"/>
        <v>0.21</v>
      </c>
      <c r="AQ681" s="72">
        <f>IF(head!F$82="S235",235,IF(head!F$82="S275",275,IF(head!F$82="S355",355,IF(head!F$82="S420",420,460))))^0.5*head!$G$70*1000/(S681*3.1416*210000^0.5)</f>
        <v>2.1177035556877404</v>
      </c>
      <c r="AR681" s="72">
        <f t="shared" si="100"/>
        <v>2.9436930482334618</v>
      </c>
      <c r="AS681" s="72">
        <f t="shared" si="101"/>
        <v>0.20046671132078706</v>
      </c>
      <c r="AT681" s="52">
        <f>IF(head!F$82="S235",235,IF(head!F$82="S275",275,IF(head!F$82="S355",355,IF(head!F$82="S420",420,460))))*AS681*J681/1000</f>
        <v>341.23944767802675</v>
      </c>
      <c r="AU681" s="192"/>
      <c r="AV681" s="52"/>
      <c r="AW681" s="52"/>
      <c r="AX681" s="105"/>
      <c r="AY681" s="52"/>
      <c r="AZ681" s="191">
        <v>0</v>
      </c>
      <c r="BA681" s="77" t="str">
        <f t="shared" si="102"/>
        <v>HF SHS 160 x 10</v>
      </c>
    </row>
    <row r="682" spans="1:53">
      <c r="A682" s="61" t="s">
        <v>788</v>
      </c>
      <c r="B682" s="62">
        <f t="shared" si="97"/>
        <v>408.06499004058168</v>
      </c>
      <c r="C682" s="63">
        <v>160</v>
      </c>
      <c r="D682" s="63">
        <v>160</v>
      </c>
      <c r="E682" s="124">
        <v>10</v>
      </c>
      <c r="F682" s="63"/>
      <c r="G682" s="63"/>
      <c r="H682" s="64">
        <v>46.3</v>
      </c>
      <c r="I682" s="65">
        <v>47.1</v>
      </c>
      <c r="J682" s="65">
        <v>5893</v>
      </c>
      <c r="K682" s="65">
        <v>0.61419999999999997</v>
      </c>
      <c r="L682" s="66">
        <v>21858000</v>
      </c>
      <c r="M682" s="67">
        <v>273200</v>
      </c>
      <c r="N682" s="67">
        <v>329000</v>
      </c>
      <c r="O682" s="68">
        <v>60.9</v>
      </c>
      <c r="P682" s="67">
        <v>21858000</v>
      </c>
      <c r="Q682" s="67">
        <v>273200</v>
      </c>
      <c r="R682" s="67">
        <v>329000</v>
      </c>
      <c r="S682" s="65">
        <v>60.9</v>
      </c>
      <c r="T682" s="66">
        <v>35506000</v>
      </c>
      <c r="U682" s="120"/>
      <c r="V682" s="69">
        <v>1</v>
      </c>
      <c r="W682" s="70">
        <v>1</v>
      </c>
      <c r="X682" s="70">
        <v>1</v>
      </c>
      <c r="Y682" s="70">
        <v>1</v>
      </c>
      <c r="Z682" s="70">
        <v>1</v>
      </c>
      <c r="AA682" s="71">
        <v>1</v>
      </c>
      <c r="AB682" s="70">
        <v>1</v>
      </c>
      <c r="AC682" s="70">
        <v>1</v>
      </c>
      <c r="AD682" s="70">
        <v>1</v>
      </c>
      <c r="AE682" s="70">
        <v>1</v>
      </c>
      <c r="AF682" s="69">
        <v>1</v>
      </c>
      <c r="AG682" s="70">
        <v>1</v>
      </c>
      <c r="AH682" s="70">
        <v>1</v>
      </c>
      <c r="AI682" s="70">
        <v>1</v>
      </c>
      <c r="AJ682" s="70">
        <v>1</v>
      </c>
      <c r="AK682" s="78">
        <f t="shared" si="98"/>
        <v>104.22535211267605</v>
      </c>
      <c r="AL682" s="79"/>
      <c r="AM682" s="80"/>
      <c r="AN682" s="81"/>
      <c r="AO682" s="70" t="str">
        <f>IF(head!$F$82="S460","a0","a")</f>
        <v>a</v>
      </c>
      <c r="AP682" s="70">
        <f t="shared" si="99"/>
        <v>0.21</v>
      </c>
      <c r="AQ682" s="72">
        <f>IF(head!F$82="S235",235,IF(head!F$82="S275",275,IF(head!F$82="S355",355,IF(head!F$82="S420",420,460))))^0.5*head!$G$70*1000/(S682*3.1416*210000^0.5)</f>
        <v>2.14899966734815</v>
      </c>
      <c r="AR682" s="72">
        <f t="shared" si="100"/>
        <v>3.0137447502027852</v>
      </c>
      <c r="AS682" s="72">
        <f t="shared" si="101"/>
        <v>0.19505834807139608</v>
      </c>
      <c r="AT682" s="52">
        <f>IF(head!F$82="S235",235,IF(head!F$82="S275",275,IF(head!F$82="S355",355,IF(head!F$82="S420",420,460))))*AS682*J682/1000</f>
        <v>408.06499004058168</v>
      </c>
      <c r="AU682" s="192"/>
      <c r="AV682" s="52"/>
      <c r="AW682" s="52"/>
      <c r="AX682" s="105"/>
      <c r="AY682" s="52"/>
      <c r="AZ682" s="191">
        <v>0</v>
      </c>
      <c r="BA682" s="77" t="str">
        <f t="shared" si="102"/>
        <v>HF SHS 160 x 12,5</v>
      </c>
    </row>
    <row r="683" spans="1:53">
      <c r="A683" s="61" t="s">
        <v>789</v>
      </c>
      <c r="B683" s="62">
        <f t="shared" si="97"/>
        <v>482.34426454409925</v>
      </c>
      <c r="C683" s="63">
        <v>160</v>
      </c>
      <c r="D683" s="63">
        <v>160</v>
      </c>
      <c r="E683" s="124">
        <v>12.5</v>
      </c>
      <c r="F683" s="63"/>
      <c r="G683" s="63"/>
      <c r="H683" s="64">
        <v>56.6</v>
      </c>
      <c r="I683" s="65">
        <v>57.7</v>
      </c>
      <c r="J683" s="65">
        <v>7207</v>
      </c>
      <c r="K683" s="65">
        <v>0.60780000000000001</v>
      </c>
      <c r="L683" s="66">
        <v>25758000</v>
      </c>
      <c r="M683" s="67">
        <v>322000</v>
      </c>
      <c r="N683" s="67">
        <v>394700</v>
      </c>
      <c r="O683" s="68">
        <v>59.8</v>
      </c>
      <c r="P683" s="67">
        <v>25758000</v>
      </c>
      <c r="Q683" s="67">
        <v>322000</v>
      </c>
      <c r="R683" s="67">
        <v>394700</v>
      </c>
      <c r="S683" s="65">
        <v>59.8</v>
      </c>
      <c r="T683" s="66">
        <v>42666000</v>
      </c>
      <c r="U683" s="120"/>
      <c r="V683" s="69">
        <v>1</v>
      </c>
      <c r="W683" s="70">
        <v>1</v>
      </c>
      <c r="X683" s="70">
        <v>1</v>
      </c>
      <c r="Y683" s="70">
        <v>1</v>
      </c>
      <c r="Z683" s="70">
        <v>1</v>
      </c>
      <c r="AA683" s="71">
        <v>1</v>
      </c>
      <c r="AB683" s="70">
        <v>1</v>
      </c>
      <c r="AC683" s="70">
        <v>1</v>
      </c>
      <c r="AD683" s="70">
        <v>1</v>
      </c>
      <c r="AE683" s="70">
        <v>1</v>
      </c>
      <c r="AF683" s="69">
        <v>1</v>
      </c>
      <c r="AG683" s="70">
        <v>1</v>
      </c>
      <c r="AH683" s="70">
        <v>1</v>
      </c>
      <c r="AI683" s="70">
        <v>1</v>
      </c>
      <c r="AJ683" s="70">
        <v>1</v>
      </c>
      <c r="AK683" s="78">
        <f t="shared" si="98"/>
        <v>84.334674621895388</v>
      </c>
      <c r="AL683" s="79"/>
      <c r="AM683" s="80"/>
      <c r="AN683" s="81"/>
      <c r="AO683" s="70" t="str">
        <f>IF(head!$F$82="S460","a0","a")</f>
        <v>a</v>
      </c>
      <c r="AP683" s="70">
        <f t="shared" si="99"/>
        <v>0.21</v>
      </c>
      <c r="AQ683" s="72">
        <f>IF(head!F$82="S235",235,IF(head!F$82="S275",275,IF(head!F$82="S355",355,IF(head!F$82="S420",420,460))))^0.5*head!$G$70*1000/(S683*3.1416*210000^0.5)</f>
        <v>2.1885297615635846</v>
      </c>
      <c r="AR683" s="72">
        <f t="shared" si="100"/>
        <v>3.1036268835889564</v>
      </c>
      <c r="AS683" s="72">
        <f t="shared" si="101"/>
        <v>0.18852729820346775</v>
      </c>
      <c r="AT683" s="52">
        <f>IF(head!F$82="S235",235,IF(head!F$82="S275",275,IF(head!F$82="S355",355,IF(head!F$82="S420",420,460))))*AS683*J683/1000</f>
        <v>482.34426454409925</v>
      </c>
      <c r="AU683" s="192"/>
      <c r="AV683" s="52"/>
      <c r="AW683" s="52"/>
      <c r="AX683" s="105"/>
      <c r="AY683" s="52"/>
      <c r="AZ683" s="191">
        <v>0</v>
      </c>
      <c r="BA683" s="77" t="str">
        <f t="shared" si="102"/>
        <v>HF SHS 180 x 6,3</v>
      </c>
    </row>
    <row r="684" spans="1:53">
      <c r="A684" s="61" t="s">
        <v>790</v>
      </c>
      <c r="B684" s="62">
        <f t="shared" si="97"/>
        <v>395.28347255273104</v>
      </c>
      <c r="C684" s="63">
        <v>180</v>
      </c>
      <c r="D684" s="63">
        <v>180</v>
      </c>
      <c r="E684" s="124">
        <v>6.3</v>
      </c>
      <c r="F684" s="63"/>
      <c r="G684" s="63"/>
      <c r="H684" s="64">
        <v>34</v>
      </c>
      <c r="I684" s="65">
        <v>34.700000000000003</v>
      </c>
      <c r="J684" s="65">
        <v>4335</v>
      </c>
      <c r="K684" s="65">
        <v>0.70379999999999998</v>
      </c>
      <c r="L684" s="66">
        <v>21679000</v>
      </c>
      <c r="M684" s="67">
        <v>240900</v>
      </c>
      <c r="N684" s="67">
        <v>281300</v>
      </c>
      <c r="O684" s="68">
        <v>70.7</v>
      </c>
      <c r="P684" s="67">
        <v>21679000</v>
      </c>
      <c r="Q684" s="67">
        <v>240900</v>
      </c>
      <c r="R684" s="67">
        <v>281300</v>
      </c>
      <c r="S684" s="65">
        <v>70.7</v>
      </c>
      <c r="T684" s="66">
        <v>34009000</v>
      </c>
      <c r="U684" s="120"/>
      <c r="V684" s="69">
        <v>1</v>
      </c>
      <c r="W684" s="70">
        <v>1</v>
      </c>
      <c r="X684" s="70">
        <v>1</v>
      </c>
      <c r="Y684" s="70">
        <v>1</v>
      </c>
      <c r="Z684" s="70">
        <v>2</v>
      </c>
      <c r="AA684" s="71">
        <v>1</v>
      </c>
      <c r="AB684" s="70">
        <v>1</v>
      </c>
      <c r="AC684" s="70">
        <v>2</v>
      </c>
      <c r="AD684" s="70">
        <v>3</v>
      </c>
      <c r="AE684" s="70">
        <v>3</v>
      </c>
      <c r="AF684" s="69">
        <v>1</v>
      </c>
      <c r="AG684" s="70">
        <v>1</v>
      </c>
      <c r="AH684" s="70">
        <v>1</v>
      </c>
      <c r="AI684" s="70">
        <v>1</v>
      </c>
      <c r="AJ684" s="70">
        <v>2</v>
      </c>
      <c r="AK684" s="78">
        <f t="shared" si="98"/>
        <v>162.35294117647058</v>
      </c>
      <c r="AL684" s="79"/>
      <c r="AM684" s="80"/>
      <c r="AN684" s="81"/>
      <c r="AO684" s="70" t="str">
        <f>IF(head!$F$82="S460","a0","a")</f>
        <v>a</v>
      </c>
      <c r="AP684" s="70">
        <f t="shared" si="99"/>
        <v>0.21</v>
      </c>
      <c r="AQ684" s="72">
        <f>IF(head!F$82="S235",235,IF(head!F$82="S275",275,IF(head!F$82="S355",355,IF(head!F$82="S420",420,460))))^0.5*head!$G$70*1000/(S684*3.1416*210000^0.5)</f>
        <v>1.8511185253394959</v>
      </c>
      <c r="AR684" s="72">
        <f t="shared" si="100"/>
        <v>2.386687342588182</v>
      </c>
      <c r="AS684" s="72">
        <f t="shared" si="101"/>
        <v>0.25685687902446908</v>
      </c>
      <c r="AT684" s="52">
        <f>IF(head!F$82="S235",235,IF(head!F$82="S275",275,IF(head!F$82="S355",355,IF(head!F$82="S420",420,460))))*AS684*J684/1000</f>
        <v>395.28347255273104</v>
      </c>
      <c r="AU684" s="192"/>
      <c r="AV684" s="52"/>
      <c r="AW684" s="52"/>
      <c r="AX684" s="105"/>
      <c r="AY684" s="52"/>
      <c r="AZ684" s="191">
        <v>0</v>
      </c>
      <c r="BA684" s="77" t="str">
        <f t="shared" si="102"/>
        <v>HF SHS 180 x 8</v>
      </c>
    </row>
    <row r="685" spans="1:53">
      <c r="A685" s="61" t="s">
        <v>791</v>
      </c>
      <c r="B685" s="62">
        <f t="shared" si="97"/>
        <v>486.68598441382431</v>
      </c>
      <c r="C685" s="63">
        <v>180</v>
      </c>
      <c r="D685" s="63">
        <v>180</v>
      </c>
      <c r="E685" s="124">
        <v>8</v>
      </c>
      <c r="F685" s="63"/>
      <c r="G685" s="63"/>
      <c r="H685" s="64">
        <v>42.7</v>
      </c>
      <c r="I685" s="65">
        <v>43.5</v>
      </c>
      <c r="J685" s="65">
        <v>5435</v>
      </c>
      <c r="K685" s="65">
        <v>0.69940000000000002</v>
      </c>
      <c r="L685" s="66">
        <v>26608000</v>
      </c>
      <c r="M685" s="67">
        <v>295600</v>
      </c>
      <c r="N685" s="67">
        <v>348900</v>
      </c>
      <c r="O685" s="68">
        <v>70</v>
      </c>
      <c r="P685" s="67">
        <v>26608000</v>
      </c>
      <c r="Q685" s="67">
        <v>295600</v>
      </c>
      <c r="R685" s="67">
        <v>348900</v>
      </c>
      <c r="S685" s="65">
        <v>70</v>
      </c>
      <c r="T685" s="66">
        <v>42245000</v>
      </c>
      <c r="U685" s="120"/>
      <c r="V685" s="69">
        <v>1</v>
      </c>
      <c r="W685" s="70">
        <v>1</v>
      </c>
      <c r="X685" s="70">
        <v>1</v>
      </c>
      <c r="Y685" s="70">
        <v>1</v>
      </c>
      <c r="Z685" s="70">
        <v>1</v>
      </c>
      <c r="AA685" s="71">
        <v>1</v>
      </c>
      <c r="AB685" s="70">
        <v>1</v>
      </c>
      <c r="AC685" s="70">
        <v>1</v>
      </c>
      <c r="AD685" s="70">
        <v>1</v>
      </c>
      <c r="AE685" s="70">
        <v>1</v>
      </c>
      <c r="AF685" s="69">
        <v>1</v>
      </c>
      <c r="AG685" s="70">
        <v>1</v>
      </c>
      <c r="AH685" s="70">
        <v>1</v>
      </c>
      <c r="AI685" s="70">
        <v>1</v>
      </c>
      <c r="AJ685" s="70">
        <v>1</v>
      </c>
      <c r="AK685" s="78">
        <f t="shared" si="98"/>
        <v>128.68445262189513</v>
      </c>
      <c r="AL685" s="79"/>
      <c r="AM685" s="80"/>
      <c r="AN685" s="81"/>
      <c r="AO685" s="70" t="str">
        <f>IF(head!$F$82="S460","a0","a")</f>
        <v>a</v>
      </c>
      <c r="AP685" s="70">
        <f t="shared" si="99"/>
        <v>0.21</v>
      </c>
      <c r="AQ685" s="72">
        <f>IF(head!F$82="S235",235,IF(head!F$82="S275",275,IF(head!F$82="S355",355,IF(head!F$82="S420",420,460))))^0.5*head!$G$70*1000/(S685*3.1416*210000^0.5)</f>
        <v>1.8696297105928907</v>
      </c>
      <c r="AR685" s="72">
        <f t="shared" si="100"/>
        <v>2.4230687469780818</v>
      </c>
      <c r="AS685" s="72">
        <f t="shared" si="101"/>
        <v>0.25224405427203667</v>
      </c>
      <c r="AT685" s="52">
        <f>IF(head!F$82="S235",235,IF(head!F$82="S275",275,IF(head!F$82="S355",355,IF(head!F$82="S420",420,460))))*AS685*J685/1000</f>
        <v>486.68598441382431</v>
      </c>
      <c r="AU685" s="192"/>
      <c r="AV685" s="52"/>
      <c r="AW685" s="52"/>
      <c r="AX685" s="105"/>
      <c r="AY685" s="52"/>
      <c r="AZ685" s="191">
        <v>0</v>
      </c>
      <c r="BA685" s="77" t="str">
        <f t="shared" si="102"/>
        <v>HF SHS 180 x 10</v>
      </c>
    </row>
    <row r="686" spans="1:53">
      <c r="A686" s="61" t="s">
        <v>792</v>
      </c>
      <c r="B686" s="62">
        <f t="shared" si="97"/>
        <v>585.34298522267545</v>
      </c>
      <c r="C686" s="63">
        <v>180</v>
      </c>
      <c r="D686" s="63">
        <v>180</v>
      </c>
      <c r="E686" s="124">
        <v>10</v>
      </c>
      <c r="F686" s="63"/>
      <c r="G686" s="63"/>
      <c r="H686" s="64">
        <v>52.5</v>
      </c>
      <c r="I686" s="65">
        <v>53.5</v>
      </c>
      <c r="J686" s="65">
        <v>6693</v>
      </c>
      <c r="K686" s="65">
        <v>0.69420000000000004</v>
      </c>
      <c r="L686" s="66">
        <v>31934000</v>
      </c>
      <c r="M686" s="67">
        <v>354800</v>
      </c>
      <c r="N686" s="67">
        <v>423900</v>
      </c>
      <c r="O686" s="68">
        <v>69.099999999999994</v>
      </c>
      <c r="P686" s="67">
        <v>31934000</v>
      </c>
      <c r="Q686" s="67">
        <v>354800</v>
      </c>
      <c r="R686" s="67">
        <v>423900</v>
      </c>
      <c r="S686" s="65">
        <v>69.099999999999994</v>
      </c>
      <c r="T686" s="66">
        <v>51422000</v>
      </c>
      <c r="U686" s="120"/>
      <c r="V686" s="69">
        <v>1</v>
      </c>
      <c r="W686" s="70">
        <v>1</v>
      </c>
      <c r="X686" s="70">
        <v>1</v>
      </c>
      <c r="Y686" s="70">
        <v>1</v>
      </c>
      <c r="Z686" s="70">
        <v>1</v>
      </c>
      <c r="AA686" s="71">
        <v>1</v>
      </c>
      <c r="AB686" s="70">
        <v>1</v>
      </c>
      <c r="AC686" s="70">
        <v>1</v>
      </c>
      <c r="AD686" s="70">
        <v>1</v>
      </c>
      <c r="AE686" s="70">
        <v>1</v>
      </c>
      <c r="AF686" s="69">
        <v>1</v>
      </c>
      <c r="AG686" s="70">
        <v>1</v>
      </c>
      <c r="AH686" s="70">
        <v>1</v>
      </c>
      <c r="AI686" s="70">
        <v>1</v>
      </c>
      <c r="AJ686" s="70">
        <v>1</v>
      </c>
      <c r="AK686" s="78">
        <f t="shared" si="98"/>
        <v>103.72030479605559</v>
      </c>
      <c r="AL686" s="79"/>
      <c r="AM686" s="80"/>
      <c r="AN686" s="81"/>
      <c r="AO686" s="70" t="str">
        <f>IF(head!$F$82="S460","a0","a")</f>
        <v>a</v>
      </c>
      <c r="AP686" s="70">
        <f t="shared" si="99"/>
        <v>0.21</v>
      </c>
      <c r="AQ686" s="72">
        <f>IF(head!F$82="S235",235,IF(head!F$82="S275",275,IF(head!F$82="S355",355,IF(head!F$82="S420",420,460))))^0.5*head!$G$70*1000/(S686*3.1416*210000^0.5)</f>
        <v>1.8939808935094409</v>
      </c>
      <c r="AR686" s="72">
        <f t="shared" si="100"/>
        <v>2.4714498063079011</v>
      </c>
      <c r="AS686" s="72">
        <f t="shared" si="101"/>
        <v>0.24635491999110928</v>
      </c>
      <c r="AT686" s="52">
        <f>IF(head!F$82="S235",235,IF(head!F$82="S275",275,IF(head!F$82="S355",355,IF(head!F$82="S420",420,460))))*AS686*J686/1000</f>
        <v>585.34298522267545</v>
      </c>
      <c r="AU686" s="192"/>
      <c r="AV686" s="52"/>
      <c r="AW686" s="52"/>
      <c r="AX686" s="105"/>
      <c r="AY686" s="52"/>
      <c r="AZ686" s="191">
        <v>0</v>
      </c>
      <c r="BA686" s="77" t="str">
        <f t="shared" si="102"/>
        <v>HF SHS 180 x 12,5</v>
      </c>
    </row>
    <row r="687" spans="1:53">
      <c r="A687" s="61" t="s">
        <v>793</v>
      </c>
      <c r="B687" s="62">
        <f t="shared" si="97"/>
        <v>696.970972830606</v>
      </c>
      <c r="C687" s="63">
        <v>180</v>
      </c>
      <c r="D687" s="63">
        <v>180</v>
      </c>
      <c r="E687" s="124">
        <v>12.5</v>
      </c>
      <c r="F687" s="63"/>
      <c r="G687" s="63"/>
      <c r="H687" s="64">
        <v>64.400000000000006</v>
      </c>
      <c r="I687" s="65">
        <v>65.7</v>
      </c>
      <c r="J687" s="65">
        <v>8207</v>
      </c>
      <c r="K687" s="65">
        <v>0.68779999999999997</v>
      </c>
      <c r="L687" s="66">
        <v>37903000</v>
      </c>
      <c r="M687" s="67">
        <v>421100</v>
      </c>
      <c r="N687" s="67">
        <v>511200</v>
      </c>
      <c r="O687" s="68">
        <v>68</v>
      </c>
      <c r="P687" s="67">
        <v>37903000</v>
      </c>
      <c r="Q687" s="67">
        <v>421100</v>
      </c>
      <c r="R687" s="67">
        <v>511200</v>
      </c>
      <c r="S687" s="65">
        <v>68</v>
      </c>
      <c r="T687" s="66">
        <v>62108000</v>
      </c>
      <c r="U687" s="120"/>
      <c r="V687" s="69">
        <v>1</v>
      </c>
      <c r="W687" s="70">
        <v>1</v>
      </c>
      <c r="X687" s="70">
        <v>1</v>
      </c>
      <c r="Y687" s="70">
        <v>1</v>
      </c>
      <c r="Z687" s="70">
        <v>1</v>
      </c>
      <c r="AA687" s="71">
        <v>1</v>
      </c>
      <c r="AB687" s="70">
        <v>1</v>
      </c>
      <c r="AC687" s="70">
        <v>1</v>
      </c>
      <c r="AD687" s="70">
        <v>1</v>
      </c>
      <c r="AE687" s="70">
        <v>1</v>
      </c>
      <c r="AF687" s="69">
        <v>1</v>
      </c>
      <c r="AG687" s="70">
        <v>1</v>
      </c>
      <c r="AH687" s="70">
        <v>1</v>
      </c>
      <c r="AI687" s="70">
        <v>1</v>
      </c>
      <c r="AJ687" s="70">
        <v>1</v>
      </c>
      <c r="AK687" s="78">
        <f t="shared" si="98"/>
        <v>83.806506640672595</v>
      </c>
      <c r="AL687" s="79"/>
      <c r="AM687" s="80"/>
      <c r="AN687" s="81"/>
      <c r="AO687" s="70" t="str">
        <f>IF(head!$F$82="S460","a0","a")</f>
        <v>a</v>
      </c>
      <c r="AP687" s="70">
        <f t="shared" si="99"/>
        <v>0.21</v>
      </c>
      <c r="AQ687" s="72">
        <f>IF(head!F$82="S235",235,IF(head!F$82="S275",275,IF(head!F$82="S355",355,IF(head!F$82="S420",420,460))))^0.5*head!$G$70*1000/(S687*3.1416*210000^0.5)</f>
        <v>1.9246188197279759</v>
      </c>
      <c r="AR687" s="72">
        <f t="shared" si="100"/>
        <v>2.5331637766969912</v>
      </c>
      <c r="AS687" s="72">
        <f t="shared" si="101"/>
        <v>0.23922243389981623</v>
      </c>
      <c r="AT687" s="52">
        <f>IF(head!F$82="S235",235,IF(head!F$82="S275",275,IF(head!F$82="S355",355,IF(head!F$82="S420",420,460))))*AS687*J687/1000</f>
        <v>696.970972830606</v>
      </c>
      <c r="AU687" s="192"/>
      <c r="AV687" s="52"/>
      <c r="AW687" s="52"/>
      <c r="AX687" s="105"/>
      <c r="AY687" s="52"/>
      <c r="AZ687" s="191">
        <v>0</v>
      </c>
      <c r="BA687" s="77" t="str">
        <f t="shared" si="102"/>
        <v>HF SHS 200 x 6,3</v>
      </c>
    </row>
    <row r="688" spans="1:53">
      <c r="A688" s="61" t="s">
        <v>794</v>
      </c>
      <c r="B688" s="62">
        <f t="shared" si="97"/>
        <v>537.30438532374126</v>
      </c>
      <c r="C688" s="63">
        <v>200</v>
      </c>
      <c r="D688" s="63">
        <v>200</v>
      </c>
      <c r="E688" s="124">
        <v>6.3</v>
      </c>
      <c r="F688" s="63"/>
      <c r="G688" s="63"/>
      <c r="H688" s="64">
        <v>38</v>
      </c>
      <c r="I688" s="65">
        <v>38.700000000000003</v>
      </c>
      <c r="J688" s="65">
        <v>4839</v>
      </c>
      <c r="K688" s="65">
        <v>0.78380000000000005</v>
      </c>
      <c r="L688" s="66">
        <v>30112000</v>
      </c>
      <c r="M688" s="67">
        <v>301100</v>
      </c>
      <c r="N688" s="67">
        <v>350300</v>
      </c>
      <c r="O688" s="68">
        <v>78.900000000000006</v>
      </c>
      <c r="P688" s="67">
        <v>30112000</v>
      </c>
      <c r="Q688" s="67">
        <v>301100</v>
      </c>
      <c r="R688" s="67">
        <v>350300</v>
      </c>
      <c r="S688" s="65">
        <v>78.900000000000006</v>
      </c>
      <c r="T688" s="66">
        <v>47027000</v>
      </c>
      <c r="U688" s="120"/>
      <c r="V688" s="69">
        <v>1</v>
      </c>
      <c r="W688" s="70">
        <v>1</v>
      </c>
      <c r="X688" s="70">
        <v>2</v>
      </c>
      <c r="Y688" s="70">
        <v>2</v>
      </c>
      <c r="Z688" s="70">
        <v>3</v>
      </c>
      <c r="AA688" s="71">
        <v>1</v>
      </c>
      <c r="AB688" s="70">
        <v>2</v>
      </c>
      <c r="AC688" s="70">
        <v>3</v>
      </c>
      <c r="AD688" s="70">
        <v>4</v>
      </c>
      <c r="AE688" s="70">
        <v>4</v>
      </c>
      <c r="AF688" s="69">
        <v>1</v>
      </c>
      <c r="AG688" s="70">
        <v>1</v>
      </c>
      <c r="AH688" s="70">
        <v>2</v>
      </c>
      <c r="AI688" s="70">
        <v>2</v>
      </c>
      <c r="AJ688" s="70">
        <v>3</v>
      </c>
      <c r="AK688" s="78">
        <f t="shared" si="98"/>
        <v>161.97561479644554</v>
      </c>
      <c r="AL688" s="79"/>
      <c r="AM688" s="80"/>
      <c r="AN688" s="81"/>
      <c r="AO688" s="70" t="str">
        <f>IF(head!$F$82="S460","a0","a")</f>
        <v>a</v>
      </c>
      <c r="AP688" s="70">
        <f t="shared" si="99"/>
        <v>0.21</v>
      </c>
      <c r="AQ688" s="72">
        <f>IF(head!F$82="S235",235,IF(head!F$82="S275",275,IF(head!F$82="S355",355,IF(head!F$82="S420",420,460))))^0.5*head!$G$70*1000/(S688*3.1416*210000^0.5)</f>
        <v>1.6587335835424886</v>
      </c>
      <c r="AR688" s="72">
        <f t="shared" si="100"/>
        <v>2.0288655768578145</v>
      </c>
      <c r="AS688" s="72">
        <f t="shared" si="101"/>
        <v>0.31277815246645724</v>
      </c>
      <c r="AT688" s="52">
        <f>IF(head!F$82="S235",235,IF(head!F$82="S275",275,IF(head!F$82="S355",355,IF(head!F$82="S420",420,460))))*AS688*J688/1000</f>
        <v>537.30438532374126</v>
      </c>
      <c r="AU688" s="192"/>
      <c r="AV688" s="52"/>
      <c r="AW688" s="52"/>
      <c r="AX688" s="105"/>
      <c r="AY688" s="52"/>
      <c r="AZ688" s="191">
        <v>0</v>
      </c>
      <c r="BA688" s="77" t="str">
        <f t="shared" si="102"/>
        <v>HF SHS 200 x 8</v>
      </c>
    </row>
    <row r="689" spans="1:53">
      <c r="A689" s="61" t="s">
        <v>795</v>
      </c>
      <c r="B689" s="62">
        <f t="shared" si="97"/>
        <v>662.4840411712197</v>
      </c>
      <c r="C689" s="63">
        <v>200</v>
      </c>
      <c r="D689" s="63">
        <v>200</v>
      </c>
      <c r="E689" s="124">
        <v>8</v>
      </c>
      <c r="F689" s="63"/>
      <c r="G689" s="63"/>
      <c r="H689" s="64">
        <v>47.7</v>
      </c>
      <c r="I689" s="65">
        <v>48.6</v>
      </c>
      <c r="J689" s="65">
        <v>6075</v>
      </c>
      <c r="K689" s="65">
        <v>0.77939999999999998</v>
      </c>
      <c r="L689" s="66">
        <v>37090000</v>
      </c>
      <c r="M689" s="67">
        <v>370900</v>
      </c>
      <c r="N689" s="67">
        <v>435600</v>
      </c>
      <c r="O689" s="68">
        <v>78.099999999999994</v>
      </c>
      <c r="P689" s="67">
        <v>37090000</v>
      </c>
      <c r="Q689" s="67">
        <v>370900</v>
      </c>
      <c r="R689" s="67">
        <v>435600</v>
      </c>
      <c r="S689" s="65">
        <v>78.099999999999994</v>
      </c>
      <c r="T689" s="66">
        <v>58557000</v>
      </c>
      <c r="U689" s="120"/>
      <c r="V689" s="69">
        <v>1</v>
      </c>
      <c r="W689" s="70">
        <v>1</v>
      </c>
      <c r="X689" s="70">
        <v>1</v>
      </c>
      <c r="Y689" s="70">
        <v>1</v>
      </c>
      <c r="Z689" s="70">
        <v>1</v>
      </c>
      <c r="AA689" s="71">
        <v>1</v>
      </c>
      <c r="AB689" s="70">
        <v>1</v>
      </c>
      <c r="AC689" s="70">
        <v>1</v>
      </c>
      <c r="AD689" s="70">
        <v>2</v>
      </c>
      <c r="AE689" s="70">
        <v>2</v>
      </c>
      <c r="AF689" s="69">
        <v>1</v>
      </c>
      <c r="AG689" s="70">
        <v>1</v>
      </c>
      <c r="AH689" s="70">
        <v>1</v>
      </c>
      <c r="AI689" s="70">
        <v>1</v>
      </c>
      <c r="AJ689" s="70">
        <v>1</v>
      </c>
      <c r="AK689" s="78">
        <f t="shared" si="98"/>
        <v>128.2962962962963</v>
      </c>
      <c r="AL689" s="79"/>
      <c r="AM689" s="80"/>
      <c r="AN689" s="81"/>
      <c r="AO689" s="70" t="str">
        <f>IF(head!$F$82="S460","a0","a")</f>
        <v>a</v>
      </c>
      <c r="AP689" s="70">
        <f t="shared" si="99"/>
        <v>0.21</v>
      </c>
      <c r="AQ689" s="72">
        <f>IF(head!F$82="S235",235,IF(head!F$82="S275",275,IF(head!F$82="S355",355,IF(head!F$82="S420",420,460))))^0.5*head!$G$70*1000/(S689*3.1416*210000^0.5)</f>
        <v>1.6757244525160355</v>
      </c>
      <c r="AR689" s="72">
        <f t="shared" si="100"/>
        <v>2.0589772878942671</v>
      </c>
      <c r="AS689" s="72">
        <f t="shared" si="101"/>
        <v>0.30718555204137005</v>
      </c>
      <c r="AT689" s="52">
        <f>IF(head!F$82="S235",235,IF(head!F$82="S275",275,IF(head!F$82="S355",355,IF(head!F$82="S420",420,460))))*AS689*J689/1000</f>
        <v>662.4840411712197</v>
      </c>
      <c r="AU689" s="192"/>
      <c r="AV689" s="52"/>
      <c r="AW689" s="52"/>
      <c r="AX689" s="105"/>
      <c r="AY689" s="52"/>
      <c r="AZ689" s="191">
        <v>0</v>
      </c>
      <c r="BA689" s="77" t="str">
        <f t="shared" si="102"/>
        <v>HF SHS 200 x 10</v>
      </c>
    </row>
    <row r="690" spans="1:53">
      <c r="A690" s="61" t="s">
        <v>796</v>
      </c>
      <c r="B690" s="62">
        <f t="shared" si="97"/>
        <v>800.46700844702673</v>
      </c>
      <c r="C690" s="63">
        <v>200</v>
      </c>
      <c r="D690" s="63">
        <v>200</v>
      </c>
      <c r="E690" s="124">
        <v>10</v>
      </c>
      <c r="F690" s="63"/>
      <c r="G690" s="63"/>
      <c r="H690" s="64">
        <v>58.8</v>
      </c>
      <c r="I690" s="65">
        <v>59.9</v>
      </c>
      <c r="J690" s="65">
        <v>7493</v>
      </c>
      <c r="K690" s="65">
        <v>0.7742</v>
      </c>
      <c r="L690" s="66">
        <v>44709000</v>
      </c>
      <c r="M690" s="67">
        <v>447100</v>
      </c>
      <c r="N690" s="67">
        <v>530900</v>
      </c>
      <c r="O690" s="68">
        <v>77.2</v>
      </c>
      <c r="P690" s="67">
        <v>44709000</v>
      </c>
      <c r="Q690" s="67">
        <v>447100</v>
      </c>
      <c r="R690" s="67">
        <v>530900</v>
      </c>
      <c r="S690" s="65">
        <v>77.2</v>
      </c>
      <c r="T690" s="66">
        <v>71488000</v>
      </c>
      <c r="U690" s="120"/>
      <c r="V690" s="69">
        <v>1</v>
      </c>
      <c r="W690" s="70">
        <v>1</v>
      </c>
      <c r="X690" s="70">
        <v>1</v>
      </c>
      <c r="Y690" s="70">
        <v>1</v>
      </c>
      <c r="Z690" s="70">
        <v>1</v>
      </c>
      <c r="AA690" s="71">
        <v>1</v>
      </c>
      <c r="AB690" s="70">
        <v>1</v>
      </c>
      <c r="AC690" s="70">
        <v>1</v>
      </c>
      <c r="AD690" s="70">
        <v>1</v>
      </c>
      <c r="AE690" s="70">
        <v>1</v>
      </c>
      <c r="AF690" s="69">
        <v>1</v>
      </c>
      <c r="AG690" s="70">
        <v>1</v>
      </c>
      <c r="AH690" s="70">
        <v>1</v>
      </c>
      <c r="AI690" s="70">
        <v>1</v>
      </c>
      <c r="AJ690" s="70">
        <v>1</v>
      </c>
      <c r="AK690" s="78">
        <f t="shared" si="98"/>
        <v>103.32310156145736</v>
      </c>
      <c r="AL690" s="79"/>
      <c r="AM690" s="80"/>
      <c r="AN690" s="81"/>
      <c r="AO690" s="70" t="str">
        <f>IF(head!$F$82="S460","a0","a")</f>
        <v>a</v>
      </c>
      <c r="AP690" s="70">
        <f t="shared" si="99"/>
        <v>0.21</v>
      </c>
      <c r="AQ690" s="72">
        <f>IF(head!F$82="S235",235,IF(head!F$82="S275",275,IF(head!F$82="S355",355,IF(head!F$82="S420",420,460))))^0.5*head!$G$70*1000/(S690*3.1416*210000^0.5)</f>
        <v>1.6952601002785279</v>
      </c>
      <c r="AR690" s="72">
        <f t="shared" si="100"/>
        <v>2.0939557143274277</v>
      </c>
      <c r="AS690" s="72">
        <f t="shared" si="101"/>
        <v>0.30092574983487941</v>
      </c>
      <c r="AT690" s="52">
        <f>IF(head!F$82="S235",235,IF(head!F$82="S275",275,IF(head!F$82="S355",355,IF(head!F$82="S420",420,460))))*AS690*J690/1000</f>
        <v>800.46700844702673</v>
      </c>
      <c r="AU690" s="192"/>
      <c r="AV690" s="52"/>
      <c r="AW690" s="52"/>
      <c r="AX690" s="105"/>
      <c r="AY690" s="52"/>
      <c r="AZ690" s="191">
        <v>0</v>
      </c>
      <c r="BA690" s="77" t="str">
        <f t="shared" si="102"/>
        <v>HF SHS 200 x 12,5</v>
      </c>
    </row>
    <row r="691" spans="1:53">
      <c r="A691" s="61" t="s">
        <v>797</v>
      </c>
      <c r="B691" s="62">
        <f t="shared" si="97"/>
        <v>958.72168747204239</v>
      </c>
      <c r="C691" s="63">
        <v>200</v>
      </c>
      <c r="D691" s="63">
        <v>200</v>
      </c>
      <c r="E691" s="124">
        <v>12.5</v>
      </c>
      <c r="F691" s="63"/>
      <c r="G691" s="63"/>
      <c r="H691" s="64">
        <v>72.3</v>
      </c>
      <c r="I691" s="65">
        <v>73.7</v>
      </c>
      <c r="J691" s="65">
        <v>9207</v>
      </c>
      <c r="K691" s="65">
        <v>0.76780000000000004</v>
      </c>
      <c r="L691" s="66">
        <v>53365000</v>
      </c>
      <c r="M691" s="67">
        <v>533600</v>
      </c>
      <c r="N691" s="67">
        <v>642600</v>
      </c>
      <c r="O691" s="68">
        <v>76.099999999999994</v>
      </c>
      <c r="P691" s="67">
        <v>53365000</v>
      </c>
      <c r="Q691" s="67">
        <v>533600</v>
      </c>
      <c r="R691" s="67">
        <v>642600</v>
      </c>
      <c r="S691" s="65">
        <v>76.099999999999994</v>
      </c>
      <c r="T691" s="66">
        <v>86685000</v>
      </c>
      <c r="U691" s="120"/>
      <c r="V691" s="69">
        <v>1</v>
      </c>
      <c r="W691" s="70">
        <v>1</v>
      </c>
      <c r="X691" s="70">
        <v>1</v>
      </c>
      <c r="Y691" s="70">
        <v>1</v>
      </c>
      <c r="Z691" s="70">
        <v>1</v>
      </c>
      <c r="AA691" s="71">
        <v>1</v>
      </c>
      <c r="AB691" s="70">
        <v>1</v>
      </c>
      <c r="AC691" s="70">
        <v>1</v>
      </c>
      <c r="AD691" s="70">
        <v>1</v>
      </c>
      <c r="AE691" s="70">
        <v>1</v>
      </c>
      <c r="AF691" s="69">
        <v>1</v>
      </c>
      <c r="AG691" s="70">
        <v>1</v>
      </c>
      <c r="AH691" s="70">
        <v>1</v>
      </c>
      <c r="AI691" s="70">
        <v>1</v>
      </c>
      <c r="AJ691" s="70">
        <v>1</v>
      </c>
      <c r="AK691" s="78">
        <f t="shared" si="98"/>
        <v>83.393070489844689</v>
      </c>
      <c r="AL691" s="79"/>
      <c r="AM691" s="80"/>
      <c r="AN691" s="81"/>
      <c r="AO691" s="70" t="str">
        <f>IF(head!$F$82="S460","a0","a")</f>
        <v>a</v>
      </c>
      <c r="AP691" s="70">
        <f t="shared" si="99"/>
        <v>0.21</v>
      </c>
      <c r="AQ691" s="72">
        <f>IF(head!F$82="S235",235,IF(head!F$82="S275",275,IF(head!F$82="S355",355,IF(head!F$82="S420",420,460))))^0.5*head!$G$70*1000/(S691*3.1416*210000^0.5)</f>
        <v>1.7197645169711218</v>
      </c>
      <c r="AR691" s="72">
        <f t="shared" si="100"/>
        <v>2.1383702711984256</v>
      </c>
      <c r="AS691" s="72">
        <f t="shared" si="101"/>
        <v>0.29332295772262756</v>
      </c>
      <c r="AT691" s="52">
        <f>IF(head!F$82="S235",235,IF(head!F$82="S275",275,IF(head!F$82="S355",355,IF(head!F$82="S420",420,460))))*AS691*J691/1000</f>
        <v>958.72168747204239</v>
      </c>
      <c r="AU691" s="192"/>
      <c r="AV691" s="52"/>
      <c r="AW691" s="52"/>
      <c r="AX691" s="105"/>
      <c r="AY691" s="52"/>
      <c r="AZ691" s="191">
        <v>0</v>
      </c>
      <c r="BA691" s="77" t="str">
        <f t="shared" si="102"/>
        <v>HF SHS 200 x 16</v>
      </c>
    </row>
    <row r="692" spans="1:53">
      <c r="A692" s="61" t="s">
        <v>798</v>
      </c>
      <c r="B692" s="62">
        <f t="shared" ref="B692:B717" si="103">AT692</f>
        <v>1155.6340573524767</v>
      </c>
      <c r="C692" s="63">
        <v>200</v>
      </c>
      <c r="D692" s="63">
        <v>200</v>
      </c>
      <c r="E692" s="124">
        <v>16</v>
      </c>
      <c r="F692" s="63"/>
      <c r="G692" s="63"/>
      <c r="H692" s="64">
        <v>90.3</v>
      </c>
      <c r="I692" s="65">
        <v>92</v>
      </c>
      <c r="J692" s="65">
        <v>11501</v>
      </c>
      <c r="K692" s="65">
        <v>0.75880000000000003</v>
      </c>
      <c r="L692" s="66">
        <v>63935000</v>
      </c>
      <c r="M692" s="67">
        <v>639400</v>
      </c>
      <c r="N692" s="67">
        <v>785500</v>
      </c>
      <c r="O692" s="68">
        <v>74.599999999999994</v>
      </c>
      <c r="P692" s="67">
        <v>63935000</v>
      </c>
      <c r="Q692" s="67">
        <v>639400</v>
      </c>
      <c r="R692" s="67">
        <v>785500</v>
      </c>
      <c r="S692" s="65">
        <v>74.599999999999994</v>
      </c>
      <c r="T692" s="66">
        <v>106150000</v>
      </c>
      <c r="U692" s="120"/>
      <c r="V692" s="69">
        <v>1</v>
      </c>
      <c r="W692" s="70">
        <v>1</v>
      </c>
      <c r="X692" s="70">
        <v>1</v>
      </c>
      <c r="Y692" s="70">
        <v>1</v>
      </c>
      <c r="Z692" s="70">
        <v>1</v>
      </c>
      <c r="AA692" s="71">
        <v>1</v>
      </c>
      <c r="AB692" s="70">
        <v>1</v>
      </c>
      <c r="AC692" s="70">
        <v>1</v>
      </c>
      <c r="AD692" s="70">
        <v>1</v>
      </c>
      <c r="AE692" s="70">
        <v>1</v>
      </c>
      <c r="AF692" s="69">
        <v>1</v>
      </c>
      <c r="AG692" s="70">
        <v>1</v>
      </c>
      <c r="AH692" s="70">
        <v>1</v>
      </c>
      <c r="AI692" s="70">
        <v>1</v>
      </c>
      <c r="AJ692" s="70">
        <v>1</v>
      </c>
      <c r="AK692" s="78">
        <f t="shared" ref="AK692:AK717" si="104">K692/J692*1000000</f>
        <v>65.976871576384667</v>
      </c>
      <c r="AL692" s="79"/>
      <c r="AM692" s="80"/>
      <c r="AN692" s="81"/>
      <c r="AO692" s="70" t="str">
        <f>IF(head!$F$82="S460","a0","a")</f>
        <v>a</v>
      </c>
      <c r="AP692" s="70">
        <f t="shared" ref="AP692:AP717" si="105">IF(AO692="a0",0.13,IF(AO692="a",0.21,IF(AO692="b",0.34,IF(AO692="c",0.49,0.76))))</f>
        <v>0.21</v>
      </c>
      <c r="AQ692" s="72">
        <f>IF(head!F$82="S235",235,IF(head!F$82="S275",275,IF(head!F$82="S355",355,IF(head!F$82="S420",420,460))))^0.5*head!$G$70*1000/(S692*3.1416*210000^0.5)</f>
        <v>1.7543442324598173</v>
      </c>
      <c r="AR692" s="72">
        <f t="shared" ref="AR692:AR717" si="106">0.5*(1+AP692*(AQ692-0.2)+AQ692^2)</f>
        <v>2.2020679873907936</v>
      </c>
      <c r="AS692" s="72">
        <f t="shared" ref="AS692:AS717" si="107">IF(AQ692&lt;=0.2,1,1/(AR692+(AR692^2-AQ692^2)^0.5))</f>
        <v>0.28304557897659277</v>
      </c>
      <c r="AT692" s="52">
        <f>IF(head!F$82="S235",235,IF(head!F$82="S275",275,IF(head!F$82="S355",355,IF(head!F$82="S420",420,460))))*AS692*J692/1000</f>
        <v>1155.6340573524767</v>
      </c>
      <c r="AU692" s="192"/>
      <c r="AV692" s="52"/>
      <c r="AW692" s="52"/>
      <c r="AX692" s="105"/>
      <c r="AY692" s="52"/>
      <c r="AZ692" s="191">
        <v>0</v>
      </c>
      <c r="BA692" s="77" t="str">
        <f t="shared" ref="BA692:BA716" si="108">A693</f>
        <v>HF SHS 200 x 20</v>
      </c>
    </row>
    <row r="693" spans="1:53">
      <c r="A693" s="61" t="s">
        <v>799</v>
      </c>
      <c r="B693" s="62">
        <f t="shared" si="103"/>
        <v>1340.0462362637541</v>
      </c>
      <c r="C693" s="63">
        <v>200</v>
      </c>
      <c r="D693" s="63">
        <v>200</v>
      </c>
      <c r="E693" s="124">
        <v>20</v>
      </c>
      <c r="F693" s="63"/>
      <c r="G693" s="63"/>
      <c r="H693" s="64">
        <v>109.7</v>
      </c>
      <c r="I693" s="65">
        <v>111.8</v>
      </c>
      <c r="J693" s="65">
        <v>13971</v>
      </c>
      <c r="K693" s="65">
        <v>0.74850000000000005</v>
      </c>
      <c r="L693" s="66">
        <v>73934000</v>
      </c>
      <c r="M693" s="67">
        <v>739300</v>
      </c>
      <c r="N693" s="67">
        <v>929900</v>
      </c>
      <c r="O693" s="68">
        <v>72.7</v>
      </c>
      <c r="P693" s="67">
        <v>73934000</v>
      </c>
      <c r="Q693" s="67">
        <v>739300</v>
      </c>
      <c r="R693" s="67">
        <v>929900</v>
      </c>
      <c r="S693" s="65">
        <v>72.7</v>
      </c>
      <c r="T693" s="66">
        <v>125794000</v>
      </c>
      <c r="U693" s="120"/>
      <c r="V693" s="69">
        <v>1</v>
      </c>
      <c r="W693" s="70">
        <v>1</v>
      </c>
      <c r="X693" s="70">
        <v>1</v>
      </c>
      <c r="Y693" s="70">
        <v>1</v>
      </c>
      <c r="Z693" s="70">
        <v>1</v>
      </c>
      <c r="AA693" s="71">
        <v>1</v>
      </c>
      <c r="AB693" s="70">
        <v>1</v>
      </c>
      <c r="AC693" s="70">
        <v>1</v>
      </c>
      <c r="AD693" s="70">
        <v>1</v>
      </c>
      <c r="AE693" s="70">
        <v>1</v>
      </c>
      <c r="AF693" s="69">
        <v>1</v>
      </c>
      <c r="AG693" s="70">
        <v>1</v>
      </c>
      <c r="AH693" s="70">
        <v>1</v>
      </c>
      <c r="AI693" s="70">
        <v>1</v>
      </c>
      <c r="AJ693" s="70">
        <v>1</v>
      </c>
      <c r="AK693" s="78">
        <f t="shared" si="104"/>
        <v>53.575263044878682</v>
      </c>
      <c r="AL693" s="79"/>
      <c r="AM693" s="80"/>
      <c r="AN693" s="81"/>
      <c r="AO693" s="70" t="str">
        <f>IF(head!$F$82="S460","a0","a")</f>
        <v>a</v>
      </c>
      <c r="AP693" s="70">
        <f t="shared" si="105"/>
        <v>0.21</v>
      </c>
      <c r="AQ693" s="72">
        <f>IF(head!F$82="S235",235,IF(head!F$82="S275",275,IF(head!F$82="S355",355,IF(head!F$82="S420",420,460))))^0.5*head!$G$70*1000/(S693*3.1416*210000^0.5)</f>
        <v>1.8001936690715592</v>
      </c>
      <c r="AR693" s="72">
        <f t="shared" si="106"/>
        <v>2.288368958335175</v>
      </c>
      <c r="AS693" s="72">
        <f t="shared" si="107"/>
        <v>0.27018668172073823</v>
      </c>
      <c r="AT693" s="52">
        <f>IF(head!F$82="S235",235,IF(head!F$82="S275",275,IF(head!F$82="S355",355,IF(head!F$82="S420",420,460))))*AS693*J693/1000</f>
        <v>1340.0462362637541</v>
      </c>
      <c r="AU693" s="192"/>
      <c r="AV693" s="52"/>
      <c r="AW693" s="52"/>
      <c r="AX693" s="105"/>
      <c r="AY693" s="52"/>
      <c r="AZ693" s="191">
        <v>0</v>
      </c>
      <c r="BA693" s="77" t="str">
        <f t="shared" si="108"/>
        <v>HF SHS 220 x 6,3</v>
      </c>
    </row>
    <row r="694" spans="1:53">
      <c r="A694" s="61" t="s">
        <v>800</v>
      </c>
      <c r="B694" s="62">
        <f t="shared" si="103"/>
        <v>704.37070437871409</v>
      </c>
      <c r="C694" s="63">
        <v>220</v>
      </c>
      <c r="D694" s="63">
        <v>220</v>
      </c>
      <c r="E694" s="124">
        <v>6.3</v>
      </c>
      <c r="F694" s="63"/>
      <c r="G694" s="63"/>
      <c r="H694" s="64">
        <v>41.9</v>
      </c>
      <c r="I694" s="65">
        <v>42.7</v>
      </c>
      <c r="J694" s="65">
        <v>5343</v>
      </c>
      <c r="K694" s="65">
        <v>0.86380000000000001</v>
      </c>
      <c r="L694" s="66">
        <v>40488000</v>
      </c>
      <c r="M694" s="67">
        <v>368100</v>
      </c>
      <c r="N694" s="67">
        <v>426900</v>
      </c>
      <c r="O694" s="68">
        <v>87.1</v>
      </c>
      <c r="P694" s="67">
        <v>40488000</v>
      </c>
      <c r="Q694" s="67">
        <v>368100</v>
      </c>
      <c r="R694" s="67">
        <v>426900</v>
      </c>
      <c r="S694" s="65">
        <v>87.1</v>
      </c>
      <c r="T694" s="66">
        <v>63002000</v>
      </c>
      <c r="U694" s="120"/>
      <c r="V694" s="69">
        <v>1</v>
      </c>
      <c r="W694" s="70">
        <v>2</v>
      </c>
      <c r="X694" s="70">
        <v>3</v>
      </c>
      <c r="Y694" s="70">
        <v>3</v>
      </c>
      <c r="Z694" s="70">
        <v>4</v>
      </c>
      <c r="AA694" s="71">
        <v>2</v>
      </c>
      <c r="AB694" s="70">
        <v>3</v>
      </c>
      <c r="AC694" s="70">
        <v>4</v>
      </c>
      <c r="AD694" s="70">
        <v>4</v>
      </c>
      <c r="AE694" s="70">
        <v>4</v>
      </c>
      <c r="AF694" s="69">
        <v>1</v>
      </c>
      <c r="AG694" s="70">
        <v>2</v>
      </c>
      <c r="AH694" s="70">
        <v>3</v>
      </c>
      <c r="AI694" s="70">
        <v>3</v>
      </c>
      <c r="AJ694" s="70">
        <v>4</v>
      </c>
      <c r="AK694" s="78">
        <f t="shared" si="104"/>
        <v>161.66947407823321</v>
      </c>
      <c r="AL694" s="79"/>
      <c r="AM694" s="80"/>
      <c r="AN694" s="81"/>
      <c r="AO694" s="70" t="str">
        <f>IF(head!$F$82="S460","a0","a")</f>
        <v>a</v>
      </c>
      <c r="AP694" s="70">
        <f t="shared" si="105"/>
        <v>0.21</v>
      </c>
      <c r="AQ694" s="72">
        <f>IF(head!F$82="S235",235,IF(head!F$82="S275",275,IF(head!F$82="S355",355,IF(head!F$82="S420",420,460))))^0.5*head!$G$70*1000/(S694*3.1416*210000^0.5)</f>
        <v>1.5025726721182819</v>
      </c>
      <c r="AR694" s="72">
        <f t="shared" si="106"/>
        <v>1.7656324480707566</v>
      </c>
      <c r="AS694" s="72">
        <f t="shared" si="107"/>
        <v>0.37135370189702677</v>
      </c>
      <c r="AT694" s="52">
        <f>IF(head!F$82="S235",235,IF(head!F$82="S275",275,IF(head!F$82="S355",355,IF(head!F$82="S420",420,460))))*AS694*J694/1000</f>
        <v>704.37070437871409</v>
      </c>
      <c r="AU694" s="192"/>
      <c r="AV694" s="52"/>
      <c r="AW694" s="52"/>
      <c r="AX694" s="105"/>
      <c r="AY694" s="52"/>
      <c r="AZ694" s="191">
        <v>0</v>
      </c>
      <c r="BA694" s="77" t="str">
        <f t="shared" si="108"/>
        <v>HF SHS 220 x 10</v>
      </c>
    </row>
    <row r="695" spans="1:53">
      <c r="A695" s="61" t="s">
        <v>801</v>
      </c>
      <c r="B695" s="62">
        <f t="shared" si="103"/>
        <v>1057.0657080534045</v>
      </c>
      <c r="C695" s="63">
        <v>220</v>
      </c>
      <c r="D695" s="63">
        <v>220</v>
      </c>
      <c r="E695" s="124">
        <v>10</v>
      </c>
      <c r="F695" s="63"/>
      <c r="G695" s="63"/>
      <c r="H695" s="64">
        <v>65.099999999999994</v>
      </c>
      <c r="I695" s="65">
        <v>66.3</v>
      </c>
      <c r="J695" s="65">
        <v>8293</v>
      </c>
      <c r="K695" s="65">
        <v>0.85419999999999996</v>
      </c>
      <c r="L695" s="66">
        <v>60502000</v>
      </c>
      <c r="M695" s="67">
        <v>550000</v>
      </c>
      <c r="N695" s="67">
        <v>649800</v>
      </c>
      <c r="O695" s="68">
        <v>85.4</v>
      </c>
      <c r="P695" s="67">
        <v>60502000</v>
      </c>
      <c r="Q695" s="67">
        <v>550000</v>
      </c>
      <c r="R695" s="67">
        <v>649800</v>
      </c>
      <c r="S695" s="65">
        <v>85.4</v>
      </c>
      <c r="T695" s="66">
        <v>96184000</v>
      </c>
      <c r="U695" s="120"/>
      <c r="V695" s="69">
        <v>1</v>
      </c>
      <c r="W695" s="70">
        <v>1</v>
      </c>
      <c r="X695" s="70">
        <v>1</v>
      </c>
      <c r="Y695" s="70">
        <v>1</v>
      </c>
      <c r="Z695" s="70">
        <v>1</v>
      </c>
      <c r="AA695" s="71">
        <v>1</v>
      </c>
      <c r="AB695" s="70">
        <v>1</v>
      </c>
      <c r="AC695" s="70">
        <v>1</v>
      </c>
      <c r="AD695" s="70">
        <v>1</v>
      </c>
      <c r="AE695" s="70">
        <v>1</v>
      </c>
      <c r="AF695" s="69">
        <v>1</v>
      </c>
      <c r="AG695" s="70">
        <v>1</v>
      </c>
      <c r="AH695" s="70">
        <v>1</v>
      </c>
      <c r="AI695" s="70">
        <v>1</v>
      </c>
      <c r="AJ695" s="70">
        <v>1</v>
      </c>
      <c r="AK695" s="78">
        <f t="shared" si="104"/>
        <v>103.00253225611962</v>
      </c>
      <c r="AL695" s="79"/>
      <c r="AM695" s="80"/>
      <c r="AN695" s="81"/>
      <c r="AO695" s="70" t="str">
        <f>IF(head!$F$82="S460","a0","a")</f>
        <v>a</v>
      </c>
      <c r="AP695" s="70">
        <f t="shared" si="105"/>
        <v>0.21</v>
      </c>
      <c r="AQ695" s="72">
        <f>IF(head!F$82="S235",235,IF(head!F$82="S275",275,IF(head!F$82="S355",355,IF(head!F$82="S420",420,460))))^0.5*head!$G$70*1000/(S695*3.1416*210000^0.5)</f>
        <v>1.532483369338435</v>
      </c>
      <c r="AR695" s="72">
        <f t="shared" si="106"/>
        <v>1.8141633924299767</v>
      </c>
      <c r="AS695" s="72">
        <f t="shared" si="107"/>
        <v>0.35905581597016473</v>
      </c>
      <c r="AT695" s="52">
        <f>IF(head!F$82="S235",235,IF(head!F$82="S275",275,IF(head!F$82="S355",355,IF(head!F$82="S420",420,460))))*AS695*J695/1000</f>
        <v>1057.0657080534045</v>
      </c>
      <c r="AU695" s="192"/>
      <c r="AV695" s="52"/>
      <c r="AW695" s="52"/>
      <c r="AX695" s="105"/>
      <c r="AY695" s="52"/>
      <c r="AZ695" s="191">
        <v>0</v>
      </c>
      <c r="BA695" s="77" t="str">
        <f t="shared" si="108"/>
        <v>HF SHS 220 x 12,5</v>
      </c>
    </row>
    <row r="696" spans="1:53">
      <c r="A696" s="61" t="s">
        <v>802</v>
      </c>
      <c r="B696" s="62">
        <f t="shared" si="103"/>
        <v>1272.3296449180593</v>
      </c>
      <c r="C696" s="63">
        <v>220</v>
      </c>
      <c r="D696" s="63">
        <v>220</v>
      </c>
      <c r="E696" s="124">
        <v>12.5</v>
      </c>
      <c r="F696" s="63"/>
      <c r="G696" s="63"/>
      <c r="H696" s="64">
        <v>80.099999999999994</v>
      </c>
      <c r="I696" s="65">
        <v>81.7</v>
      </c>
      <c r="J696" s="65">
        <v>10207</v>
      </c>
      <c r="K696" s="65">
        <v>0.8478</v>
      </c>
      <c r="L696" s="66">
        <v>72543000</v>
      </c>
      <c r="M696" s="67">
        <v>659500</v>
      </c>
      <c r="N696" s="67">
        <v>789100</v>
      </c>
      <c r="O696" s="68">
        <v>84.3</v>
      </c>
      <c r="P696" s="67">
        <v>72543000</v>
      </c>
      <c r="Q696" s="67">
        <v>659500</v>
      </c>
      <c r="R696" s="67">
        <v>789100</v>
      </c>
      <c r="S696" s="65">
        <v>84.3</v>
      </c>
      <c r="T696" s="66">
        <v>116997000</v>
      </c>
      <c r="U696" s="120"/>
      <c r="V696" s="69">
        <v>1</v>
      </c>
      <c r="W696" s="70">
        <v>1</v>
      </c>
      <c r="X696" s="70">
        <v>1</v>
      </c>
      <c r="Y696" s="70">
        <v>1</v>
      </c>
      <c r="Z696" s="70">
        <v>1</v>
      </c>
      <c r="AA696" s="71">
        <v>1</v>
      </c>
      <c r="AB696" s="70">
        <v>1</v>
      </c>
      <c r="AC696" s="70">
        <v>1</v>
      </c>
      <c r="AD696" s="70">
        <v>1</v>
      </c>
      <c r="AE696" s="70">
        <v>1</v>
      </c>
      <c r="AF696" s="69">
        <v>1</v>
      </c>
      <c r="AG696" s="70">
        <v>1</v>
      </c>
      <c r="AH696" s="70">
        <v>1</v>
      </c>
      <c r="AI696" s="70">
        <v>1</v>
      </c>
      <c r="AJ696" s="70">
        <v>1</v>
      </c>
      <c r="AK696" s="78">
        <f t="shared" si="104"/>
        <v>83.060644655628494</v>
      </c>
      <c r="AL696" s="79"/>
      <c r="AM696" s="80"/>
      <c r="AN696" s="81"/>
      <c r="AO696" s="70" t="str">
        <f>IF(head!$F$82="S460","a0","a")</f>
        <v>a</v>
      </c>
      <c r="AP696" s="70">
        <f t="shared" si="105"/>
        <v>0.21</v>
      </c>
      <c r="AQ696" s="72">
        <f>IF(head!F$82="S235",235,IF(head!F$82="S275",275,IF(head!F$82="S355",355,IF(head!F$82="S420",420,460))))^0.5*head!$G$70*1000/(S696*3.1416*210000^0.5)</f>
        <v>1.5524801867319378</v>
      </c>
      <c r="AR696" s="72">
        <f t="shared" si="106"/>
        <v>1.8471077847044697</v>
      </c>
      <c r="AS696" s="72">
        <f t="shared" si="107"/>
        <v>0.35113423814864947</v>
      </c>
      <c r="AT696" s="52">
        <f>IF(head!F$82="S235",235,IF(head!F$82="S275",275,IF(head!F$82="S355",355,IF(head!F$82="S420",420,460))))*AS696*J696/1000</f>
        <v>1272.3296449180593</v>
      </c>
      <c r="AU696" s="192"/>
      <c r="AV696" s="52"/>
      <c r="AW696" s="52"/>
      <c r="AX696" s="105"/>
      <c r="AY696" s="52"/>
      <c r="AZ696" s="191">
        <v>0</v>
      </c>
      <c r="BA696" s="77" t="str">
        <f t="shared" si="108"/>
        <v>HF SHS 220 x 16</v>
      </c>
    </row>
    <row r="697" spans="1:53">
      <c r="A697" s="61" t="s">
        <v>803</v>
      </c>
      <c r="B697" s="62">
        <f t="shared" si="103"/>
        <v>1541.1719001417462</v>
      </c>
      <c r="C697" s="63">
        <v>220</v>
      </c>
      <c r="D697" s="63">
        <v>220</v>
      </c>
      <c r="E697" s="124">
        <v>16</v>
      </c>
      <c r="F697" s="63"/>
      <c r="G697" s="63"/>
      <c r="H697" s="64">
        <v>100.3</v>
      </c>
      <c r="I697" s="65">
        <v>102.3</v>
      </c>
      <c r="J697" s="65">
        <v>12781</v>
      </c>
      <c r="K697" s="65">
        <v>0.83879999999999999</v>
      </c>
      <c r="L697" s="66">
        <v>87488000</v>
      </c>
      <c r="M697" s="67">
        <v>795300</v>
      </c>
      <c r="N697" s="67">
        <v>969000</v>
      </c>
      <c r="O697" s="68">
        <v>82.7</v>
      </c>
      <c r="P697" s="67">
        <v>87488000</v>
      </c>
      <c r="Q697" s="67">
        <v>795300</v>
      </c>
      <c r="R697" s="67">
        <v>969000</v>
      </c>
      <c r="S697" s="65">
        <v>82.7</v>
      </c>
      <c r="T697" s="66">
        <v>143948000</v>
      </c>
      <c r="U697" s="120"/>
      <c r="V697" s="69">
        <v>1</v>
      </c>
      <c r="W697" s="70">
        <v>1</v>
      </c>
      <c r="X697" s="70">
        <v>1</v>
      </c>
      <c r="Y697" s="70">
        <v>1</v>
      </c>
      <c r="Z697" s="70">
        <v>1</v>
      </c>
      <c r="AA697" s="71">
        <v>1</v>
      </c>
      <c r="AB697" s="70">
        <v>1</v>
      </c>
      <c r="AC697" s="70">
        <v>1</v>
      </c>
      <c r="AD697" s="70">
        <v>1</v>
      </c>
      <c r="AE697" s="70">
        <v>1</v>
      </c>
      <c r="AF697" s="69">
        <v>1</v>
      </c>
      <c r="AG697" s="70">
        <v>1</v>
      </c>
      <c r="AH697" s="70">
        <v>1</v>
      </c>
      <c r="AI697" s="70">
        <v>1</v>
      </c>
      <c r="AJ697" s="70">
        <v>1</v>
      </c>
      <c r="AK697" s="78">
        <f t="shared" si="104"/>
        <v>65.62866755339958</v>
      </c>
      <c r="AL697" s="79"/>
      <c r="AM697" s="80"/>
      <c r="AN697" s="81"/>
      <c r="AO697" s="70" t="str">
        <f>IF(head!$F$82="S460","a0","a")</f>
        <v>a</v>
      </c>
      <c r="AP697" s="70">
        <f t="shared" si="105"/>
        <v>0.21</v>
      </c>
      <c r="AQ697" s="72">
        <f>IF(head!F$82="S235",235,IF(head!F$82="S275",275,IF(head!F$82="S355",355,IF(head!F$82="S420",420,460))))^0.5*head!$G$70*1000/(S697*3.1416*210000^0.5)</f>
        <v>1.5825160790991821</v>
      </c>
      <c r="AR697" s="72">
        <f t="shared" si="106"/>
        <v>1.8973427586091387</v>
      </c>
      <c r="AS697" s="72">
        <f t="shared" si="107"/>
        <v>0.3396705497358527</v>
      </c>
      <c r="AT697" s="52">
        <f>IF(head!F$82="S235",235,IF(head!F$82="S275",275,IF(head!F$82="S355",355,IF(head!F$82="S420",420,460))))*AS697*J697/1000</f>
        <v>1541.1719001417462</v>
      </c>
      <c r="AU697" s="192"/>
      <c r="AV697" s="52"/>
      <c r="AW697" s="52"/>
      <c r="AX697" s="105"/>
      <c r="AY697" s="52"/>
      <c r="AZ697" s="191">
        <v>0</v>
      </c>
      <c r="BA697" s="77" t="str">
        <f t="shared" si="108"/>
        <v>HF SHS 250 x 6,3</v>
      </c>
    </row>
    <row r="698" spans="1:53">
      <c r="A698" s="61" t="s">
        <v>804</v>
      </c>
      <c r="B698" s="62">
        <f t="shared" si="103"/>
        <v>996.79411386362688</v>
      </c>
      <c r="C698" s="63">
        <v>250</v>
      </c>
      <c r="D698" s="63">
        <v>250</v>
      </c>
      <c r="E698" s="124">
        <v>6.3</v>
      </c>
      <c r="F698" s="63"/>
      <c r="G698" s="63"/>
      <c r="H698" s="64">
        <v>47.9</v>
      </c>
      <c r="I698" s="65">
        <v>48.8</v>
      </c>
      <c r="J698" s="65">
        <v>6099</v>
      </c>
      <c r="K698" s="65">
        <v>0.98380000000000001</v>
      </c>
      <c r="L698" s="66">
        <v>60139000</v>
      </c>
      <c r="M698" s="67">
        <v>481100</v>
      </c>
      <c r="N698" s="67">
        <v>555900</v>
      </c>
      <c r="O698" s="68">
        <v>99.3</v>
      </c>
      <c r="P698" s="67">
        <v>60139000</v>
      </c>
      <c r="Q698" s="67">
        <v>481100</v>
      </c>
      <c r="R698" s="67">
        <v>555900</v>
      </c>
      <c r="S698" s="65">
        <v>99.3</v>
      </c>
      <c r="T698" s="66">
        <v>93170000</v>
      </c>
      <c r="U698" s="120"/>
      <c r="V698" s="69">
        <v>2</v>
      </c>
      <c r="W698" s="70">
        <v>3</v>
      </c>
      <c r="X698" s="70">
        <v>4</v>
      </c>
      <c r="Y698" s="70">
        <v>4</v>
      </c>
      <c r="Z698" s="70">
        <v>4</v>
      </c>
      <c r="AA698" s="71">
        <v>3</v>
      </c>
      <c r="AB698" s="70">
        <v>4</v>
      </c>
      <c r="AC698" s="70">
        <v>4</v>
      </c>
      <c r="AD698" s="70">
        <v>4</v>
      </c>
      <c r="AE698" s="70">
        <v>4</v>
      </c>
      <c r="AF698" s="69">
        <v>2</v>
      </c>
      <c r="AG698" s="70">
        <v>3</v>
      </c>
      <c r="AH698" s="70">
        <v>4</v>
      </c>
      <c r="AI698" s="70">
        <v>4</v>
      </c>
      <c r="AJ698" s="70">
        <v>4</v>
      </c>
      <c r="AK698" s="78">
        <f t="shared" si="104"/>
        <v>161.30513198885063</v>
      </c>
      <c r="AL698" s="79"/>
      <c r="AM698" s="80"/>
      <c r="AN698" s="81"/>
      <c r="AO698" s="70" t="str">
        <f>IF(head!$F$82="S460","a0","a")</f>
        <v>a</v>
      </c>
      <c r="AP698" s="70">
        <f t="shared" si="105"/>
        <v>0.21</v>
      </c>
      <c r="AQ698" s="72">
        <f>IF(head!F$82="S235",235,IF(head!F$82="S275",275,IF(head!F$82="S355",355,IF(head!F$82="S420",420,460))))^0.5*head!$G$70*1000/(S698*3.1416*210000^0.5)</f>
        <v>1.3179665633585333</v>
      </c>
      <c r="AR698" s="72">
        <f t="shared" si="106"/>
        <v>1.4859044202181975</v>
      </c>
      <c r="AS698" s="72">
        <f t="shared" si="107"/>
        <v>0.46038215170975938</v>
      </c>
      <c r="AT698" s="52">
        <f>IF(head!F$82="S235",235,IF(head!F$82="S275",275,IF(head!F$82="S355",355,IF(head!F$82="S420",420,460))))*AS698*J698/1000</f>
        <v>996.79411386362688</v>
      </c>
      <c r="AU698" s="192"/>
      <c r="AV698" s="52"/>
      <c r="AW698" s="52"/>
      <c r="AX698" s="105"/>
      <c r="AY698" s="52"/>
      <c r="AZ698" s="191">
        <v>0</v>
      </c>
      <c r="BA698" s="77" t="str">
        <f t="shared" si="108"/>
        <v>HF SHS 250 x 8</v>
      </c>
    </row>
    <row r="699" spans="1:53">
      <c r="A699" s="61" t="s">
        <v>142</v>
      </c>
      <c r="B699" s="62">
        <f t="shared" si="103"/>
        <v>1240.4956602944362</v>
      </c>
      <c r="C699" s="63">
        <v>250</v>
      </c>
      <c r="D699" s="63">
        <v>250</v>
      </c>
      <c r="E699" s="124">
        <v>8</v>
      </c>
      <c r="F699" s="63"/>
      <c r="G699" s="63"/>
      <c r="H699" s="64">
        <v>60.3</v>
      </c>
      <c r="I699" s="65">
        <v>61.4</v>
      </c>
      <c r="J699" s="65">
        <v>7675</v>
      </c>
      <c r="K699" s="65">
        <v>0.97940000000000005</v>
      </c>
      <c r="L699" s="66">
        <v>74548000</v>
      </c>
      <c r="M699" s="67">
        <v>596400</v>
      </c>
      <c r="N699" s="67">
        <v>694200</v>
      </c>
      <c r="O699" s="68">
        <v>98.6</v>
      </c>
      <c r="P699" s="67">
        <v>74548000</v>
      </c>
      <c r="Q699" s="67">
        <v>596400</v>
      </c>
      <c r="R699" s="67">
        <v>694200</v>
      </c>
      <c r="S699" s="65">
        <v>98.6</v>
      </c>
      <c r="T699" s="66">
        <v>116501000</v>
      </c>
      <c r="U699" s="120"/>
      <c r="V699" s="69">
        <v>1</v>
      </c>
      <c r="W699" s="70">
        <v>1</v>
      </c>
      <c r="X699" s="70">
        <v>2</v>
      </c>
      <c r="Y699" s="70">
        <v>2</v>
      </c>
      <c r="Z699" s="70">
        <v>3</v>
      </c>
      <c r="AA699" s="71">
        <v>1</v>
      </c>
      <c r="AB699" s="70">
        <v>2</v>
      </c>
      <c r="AC699" s="70">
        <v>3</v>
      </c>
      <c r="AD699" s="70">
        <v>4</v>
      </c>
      <c r="AE699" s="70">
        <v>4</v>
      </c>
      <c r="AF699" s="69">
        <v>1</v>
      </c>
      <c r="AG699" s="70">
        <v>1</v>
      </c>
      <c r="AH699" s="70">
        <v>2</v>
      </c>
      <c r="AI699" s="70">
        <v>2</v>
      </c>
      <c r="AJ699" s="70">
        <v>3</v>
      </c>
      <c r="AK699" s="78">
        <f t="shared" si="104"/>
        <v>127.60912052117266</v>
      </c>
      <c r="AL699" s="79"/>
      <c r="AM699" s="80"/>
      <c r="AN699" s="81"/>
      <c r="AO699" s="70" t="str">
        <f>IF(head!$F$82="S460","a0","a")</f>
        <v>a</v>
      </c>
      <c r="AP699" s="70">
        <f t="shared" si="105"/>
        <v>0.21</v>
      </c>
      <c r="AQ699" s="72">
        <f>IF(head!F$82="S235",235,IF(head!F$82="S275",275,IF(head!F$82="S355",355,IF(head!F$82="S420",420,460))))^0.5*head!$G$70*1000/(S699*3.1416*210000^0.5)</f>
        <v>1.3273233239503281</v>
      </c>
      <c r="AR699" s="72">
        <f t="shared" si="106"/>
        <v>1.4992625521660583</v>
      </c>
      <c r="AS699" s="72">
        <f t="shared" si="107"/>
        <v>0.4552904198906037</v>
      </c>
      <c r="AT699" s="52">
        <f>IF(head!F$82="S235",235,IF(head!F$82="S275",275,IF(head!F$82="S355",355,IF(head!F$82="S420",420,460))))*AS699*J699/1000</f>
        <v>1240.4956602944362</v>
      </c>
      <c r="AU699" s="192"/>
      <c r="AV699" s="52"/>
      <c r="AW699" s="52"/>
      <c r="AX699" s="105"/>
      <c r="AY699" s="52"/>
      <c r="AZ699" s="191">
        <v>0</v>
      </c>
      <c r="BA699" s="77" t="str">
        <f t="shared" si="108"/>
        <v>HF SHS 250 x 10</v>
      </c>
    </row>
    <row r="700" spans="1:53">
      <c r="A700" s="61" t="s">
        <v>805</v>
      </c>
      <c r="B700" s="62">
        <f t="shared" si="103"/>
        <v>1512.237044146113</v>
      </c>
      <c r="C700" s="63">
        <v>250</v>
      </c>
      <c r="D700" s="63">
        <v>250</v>
      </c>
      <c r="E700" s="124">
        <v>10</v>
      </c>
      <c r="F700" s="63"/>
      <c r="G700" s="63"/>
      <c r="H700" s="64">
        <v>74.5</v>
      </c>
      <c r="I700" s="65">
        <v>75.900000000000006</v>
      </c>
      <c r="J700" s="65">
        <v>9493</v>
      </c>
      <c r="K700" s="65">
        <v>0.97419999999999995</v>
      </c>
      <c r="L700" s="66">
        <v>90552000</v>
      </c>
      <c r="M700" s="67">
        <v>724400</v>
      </c>
      <c r="N700" s="67">
        <v>850700</v>
      </c>
      <c r="O700" s="68">
        <v>97.7</v>
      </c>
      <c r="P700" s="67">
        <v>90552000</v>
      </c>
      <c r="Q700" s="67">
        <v>724400</v>
      </c>
      <c r="R700" s="67">
        <v>850700</v>
      </c>
      <c r="S700" s="65">
        <v>97.7</v>
      </c>
      <c r="T700" s="66">
        <v>142961000</v>
      </c>
      <c r="U700" s="120"/>
      <c r="V700" s="69">
        <v>1</v>
      </c>
      <c r="W700" s="70">
        <v>1</v>
      </c>
      <c r="X700" s="70">
        <v>1</v>
      </c>
      <c r="Y700" s="70">
        <v>1</v>
      </c>
      <c r="Z700" s="70">
        <v>1</v>
      </c>
      <c r="AA700" s="71">
        <v>1</v>
      </c>
      <c r="AB700" s="70">
        <v>1</v>
      </c>
      <c r="AC700" s="70">
        <v>1</v>
      </c>
      <c r="AD700" s="70">
        <v>2</v>
      </c>
      <c r="AE700" s="70">
        <v>2</v>
      </c>
      <c r="AF700" s="69">
        <v>1</v>
      </c>
      <c r="AG700" s="70">
        <v>1</v>
      </c>
      <c r="AH700" s="70">
        <v>1</v>
      </c>
      <c r="AI700" s="70">
        <v>1</v>
      </c>
      <c r="AJ700" s="70">
        <v>1</v>
      </c>
      <c r="AK700" s="78">
        <f t="shared" si="104"/>
        <v>102.62298535763193</v>
      </c>
      <c r="AL700" s="79"/>
      <c r="AM700" s="80"/>
      <c r="AN700" s="81"/>
      <c r="AO700" s="70" t="str">
        <f>IF(head!$F$82="S460","a0","a")</f>
        <v>a</v>
      </c>
      <c r="AP700" s="70">
        <f t="shared" si="105"/>
        <v>0.21</v>
      </c>
      <c r="AQ700" s="72">
        <f>IF(head!F$82="S235",235,IF(head!F$82="S275",275,IF(head!F$82="S355",355,IF(head!F$82="S420",420,460))))^0.5*head!$G$70*1000/(S700*3.1416*210000^0.5)</f>
        <v>1.3395504579478235</v>
      </c>
      <c r="AR700" s="72">
        <f t="shared" si="106"/>
        <v>1.5168505127786331</v>
      </c>
      <c r="AS700" s="72">
        <f t="shared" si="107"/>
        <v>0.44873303060850267</v>
      </c>
      <c r="AT700" s="52">
        <f>IF(head!F$82="S235",235,IF(head!F$82="S275",275,IF(head!F$82="S355",355,IF(head!F$82="S420",420,460))))*AS700*J700/1000</f>
        <v>1512.237044146113</v>
      </c>
      <c r="AU700" s="192"/>
      <c r="AV700" s="52"/>
      <c r="AW700" s="52"/>
      <c r="AX700" s="105"/>
      <c r="AY700" s="52"/>
      <c r="AZ700" s="191">
        <v>0</v>
      </c>
      <c r="BA700" s="77" t="str">
        <f t="shared" si="108"/>
        <v>HF SHS 250 x 12,5</v>
      </c>
    </row>
    <row r="701" spans="1:53">
      <c r="A701" s="61" t="s">
        <v>806</v>
      </c>
      <c r="B701" s="62">
        <f t="shared" si="103"/>
        <v>1831.5632968683324</v>
      </c>
      <c r="C701" s="63">
        <v>250</v>
      </c>
      <c r="D701" s="63">
        <v>250</v>
      </c>
      <c r="E701" s="124">
        <v>12.5</v>
      </c>
      <c r="F701" s="63"/>
      <c r="G701" s="63"/>
      <c r="H701" s="64">
        <v>91.9</v>
      </c>
      <c r="I701" s="65">
        <v>93.7</v>
      </c>
      <c r="J701" s="65">
        <v>11707</v>
      </c>
      <c r="K701" s="65">
        <v>0.96779999999999999</v>
      </c>
      <c r="L701" s="66">
        <v>109153000</v>
      </c>
      <c r="M701" s="67">
        <v>873200</v>
      </c>
      <c r="N701" s="67">
        <v>1036800</v>
      </c>
      <c r="O701" s="68">
        <v>96.6</v>
      </c>
      <c r="P701" s="67">
        <v>109153000</v>
      </c>
      <c r="Q701" s="67">
        <v>873200</v>
      </c>
      <c r="R701" s="67">
        <v>1036800</v>
      </c>
      <c r="S701" s="65">
        <v>96.6</v>
      </c>
      <c r="T701" s="66">
        <v>174531000</v>
      </c>
      <c r="U701" s="120"/>
      <c r="V701" s="69">
        <v>1</v>
      </c>
      <c r="W701" s="70">
        <v>1</v>
      </c>
      <c r="X701" s="70">
        <v>1</v>
      </c>
      <c r="Y701" s="70">
        <v>1</v>
      </c>
      <c r="Z701" s="70">
        <v>1</v>
      </c>
      <c r="AA701" s="71">
        <v>1</v>
      </c>
      <c r="AB701" s="70">
        <v>1</v>
      </c>
      <c r="AC701" s="70">
        <v>1</v>
      </c>
      <c r="AD701" s="70">
        <v>1</v>
      </c>
      <c r="AE701" s="70">
        <v>1</v>
      </c>
      <c r="AF701" s="69">
        <v>1</v>
      </c>
      <c r="AG701" s="70">
        <v>1</v>
      </c>
      <c r="AH701" s="70">
        <v>1</v>
      </c>
      <c r="AI701" s="70">
        <v>1</v>
      </c>
      <c r="AJ701" s="70">
        <v>1</v>
      </c>
      <c r="AK701" s="78">
        <f t="shared" si="104"/>
        <v>82.668488938242078</v>
      </c>
      <c r="AL701" s="79"/>
      <c r="AM701" s="80"/>
      <c r="AN701" s="81"/>
      <c r="AO701" s="70" t="str">
        <f>IF(head!$F$82="S460","a0","a")</f>
        <v>a</v>
      </c>
      <c r="AP701" s="70">
        <f t="shared" si="105"/>
        <v>0.21</v>
      </c>
      <c r="AQ701" s="72">
        <f>IF(head!F$82="S235",235,IF(head!F$82="S275",275,IF(head!F$82="S355",355,IF(head!F$82="S420",420,460))))^0.5*head!$G$70*1000/(S701*3.1416*210000^0.5)</f>
        <v>1.3548041381107905</v>
      </c>
      <c r="AR701" s="72">
        <f t="shared" si="106"/>
        <v>1.5390015608226939</v>
      </c>
      <c r="AS701" s="72">
        <f t="shared" si="107"/>
        <v>0.44070498254164353</v>
      </c>
      <c r="AT701" s="52">
        <f>IF(head!F$82="S235",235,IF(head!F$82="S275",275,IF(head!F$82="S355",355,IF(head!F$82="S420",420,460))))*AS701*J701/1000</f>
        <v>1831.5632968683324</v>
      </c>
      <c r="AU701" s="192"/>
      <c r="AV701" s="52"/>
      <c r="AW701" s="52"/>
      <c r="AX701" s="105"/>
      <c r="AY701" s="52"/>
      <c r="AZ701" s="191">
        <v>0</v>
      </c>
      <c r="BA701" s="77" t="str">
        <f t="shared" si="108"/>
        <v>HF SHS 250 x 16</v>
      </c>
    </row>
    <row r="702" spans="1:53">
      <c r="A702" s="61" t="s">
        <v>807</v>
      </c>
      <c r="B702" s="62">
        <f t="shared" si="103"/>
        <v>2238.9388453278739</v>
      </c>
      <c r="C702" s="63">
        <v>250</v>
      </c>
      <c r="D702" s="63">
        <v>250</v>
      </c>
      <c r="E702" s="124">
        <v>16</v>
      </c>
      <c r="F702" s="63"/>
      <c r="G702" s="63"/>
      <c r="H702" s="64">
        <v>115.4</v>
      </c>
      <c r="I702" s="65">
        <v>117.6</v>
      </c>
      <c r="J702" s="65">
        <v>14701</v>
      </c>
      <c r="K702" s="65">
        <v>0.95879999999999999</v>
      </c>
      <c r="L702" s="66">
        <v>132667000</v>
      </c>
      <c r="M702" s="67">
        <v>1061300</v>
      </c>
      <c r="N702" s="67">
        <v>1280200</v>
      </c>
      <c r="O702" s="68">
        <v>95</v>
      </c>
      <c r="P702" s="67">
        <v>132667000</v>
      </c>
      <c r="Q702" s="67">
        <v>1061300</v>
      </c>
      <c r="R702" s="67">
        <v>1280200</v>
      </c>
      <c r="S702" s="65">
        <v>95</v>
      </c>
      <c r="T702" s="66">
        <v>215910000</v>
      </c>
      <c r="U702" s="120"/>
      <c r="V702" s="69">
        <v>1</v>
      </c>
      <c r="W702" s="70">
        <v>1</v>
      </c>
      <c r="X702" s="70">
        <v>1</v>
      </c>
      <c r="Y702" s="70">
        <v>1</v>
      </c>
      <c r="Z702" s="70">
        <v>1</v>
      </c>
      <c r="AA702" s="71">
        <v>1</v>
      </c>
      <c r="AB702" s="70">
        <v>1</v>
      </c>
      <c r="AC702" s="70">
        <v>1</v>
      </c>
      <c r="AD702" s="70">
        <v>1</v>
      </c>
      <c r="AE702" s="70">
        <v>1</v>
      </c>
      <c r="AF702" s="69">
        <v>1</v>
      </c>
      <c r="AG702" s="70">
        <v>1</v>
      </c>
      <c r="AH702" s="70">
        <v>1</v>
      </c>
      <c r="AI702" s="70">
        <v>1</v>
      </c>
      <c r="AJ702" s="70">
        <v>1</v>
      </c>
      <c r="AK702" s="78">
        <f t="shared" si="104"/>
        <v>65.220053057615118</v>
      </c>
      <c r="AL702" s="79"/>
      <c r="AM702" s="80"/>
      <c r="AN702" s="81"/>
      <c r="AO702" s="70" t="str">
        <f>IF(head!$F$82="S460","a0","a")</f>
        <v>a</v>
      </c>
      <c r="AP702" s="70">
        <f t="shared" si="105"/>
        <v>0.21</v>
      </c>
      <c r="AQ702" s="72">
        <f>IF(head!F$82="S235",235,IF(head!F$82="S275",275,IF(head!F$82="S355",355,IF(head!F$82="S420",420,460))))^0.5*head!$G$70*1000/(S702*3.1416*210000^0.5)</f>
        <v>1.3776218920158143</v>
      </c>
      <c r="AR702" s="72">
        <f t="shared" si="106"/>
        <v>1.5725713373422765</v>
      </c>
      <c r="AS702" s="72">
        <f t="shared" si="107"/>
        <v>0.42900959028903346</v>
      </c>
      <c r="AT702" s="52">
        <f>IF(head!F$82="S235",235,IF(head!F$82="S275",275,IF(head!F$82="S355",355,IF(head!F$82="S420",420,460))))*AS702*J702/1000</f>
        <v>2238.9388453278739</v>
      </c>
      <c r="AU702" s="192"/>
      <c r="AV702" s="52"/>
      <c r="AW702" s="52"/>
      <c r="AX702" s="105"/>
      <c r="AY702" s="52"/>
      <c r="AZ702" s="191">
        <v>0</v>
      </c>
      <c r="BA702" s="77" t="str">
        <f t="shared" si="108"/>
        <v>HF SHS 250 x 20</v>
      </c>
    </row>
    <row r="703" spans="1:53">
      <c r="A703" s="61" t="s">
        <v>808</v>
      </c>
      <c r="B703" s="62">
        <f t="shared" si="103"/>
        <v>2652.9415912546101</v>
      </c>
      <c r="C703" s="63">
        <v>250</v>
      </c>
      <c r="D703" s="63">
        <v>250</v>
      </c>
      <c r="E703" s="124">
        <v>20</v>
      </c>
      <c r="F703" s="63"/>
      <c r="G703" s="63"/>
      <c r="H703" s="64">
        <v>141.1</v>
      </c>
      <c r="I703" s="65">
        <v>143.80000000000001</v>
      </c>
      <c r="J703" s="65">
        <v>17971</v>
      </c>
      <c r="K703" s="65">
        <v>0.94850000000000001</v>
      </c>
      <c r="L703" s="66">
        <v>156092000</v>
      </c>
      <c r="M703" s="67">
        <v>1248700</v>
      </c>
      <c r="N703" s="67">
        <v>1534100</v>
      </c>
      <c r="O703" s="68">
        <v>93.2</v>
      </c>
      <c r="P703" s="67">
        <v>156092000</v>
      </c>
      <c r="Q703" s="67">
        <v>1248700</v>
      </c>
      <c r="R703" s="67">
        <v>1534100</v>
      </c>
      <c r="S703" s="65">
        <v>93.2</v>
      </c>
      <c r="T703" s="66">
        <v>259155000</v>
      </c>
      <c r="U703" s="120"/>
      <c r="V703" s="69">
        <v>1</v>
      </c>
      <c r="W703" s="70">
        <v>1</v>
      </c>
      <c r="X703" s="70">
        <v>1</v>
      </c>
      <c r="Y703" s="70">
        <v>1</v>
      </c>
      <c r="Z703" s="70">
        <v>1</v>
      </c>
      <c r="AA703" s="71">
        <v>1</v>
      </c>
      <c r="AB703" s="70">
        <v>1</v>
      </c>
      <c r="AC703" s="70">
        <v>1</v>
      </c>
      <c r="AD703" s="70">
        <v>1</v>
      </c>
      <c r="AE703" s="70">
        <v>1</v>
      </c>
      <c r="AF703" s="69">
        <v>1</v>
      </c>
      <c r="AG703" s="70">
        <v>1</v>
      </c>
      <c r="AH703" s="70">
        <v>1</v>
      </c>
      <c r="AI703" s="70">
        <v>1</v>
      </c>
      <c r="AJ703" s="70">
        <v>1</v>
      </c>
      <c r="AK703" s="78">
        <f t="shared" si="104"/>
        <v>52.779478047966165</v>
      </c>
      <c r="AL703" s="79"/>
      <c r="AM703" s="80"/>
      <c r="AN703" s="81"/>
      <c r="AO703" s="70" t="str">
        <f>IF(head!$F$82="S460","a0","a")</f>
        <v>a</v>
      </c>
      <c r="AP703" s="70">
        <f t="shared" si="105"/>
        <v>0.21</v>
      </c>
      <c r="AQ703" s="72">
        <f>IF(head!F$82="S235",235,IF(head!F$82="S275",275,IF(head!F$82="S355",355,IF(head!F$82="S420",420,460))))^0.5*head!$G$70*1000/(S703*3.1416*210000^0.5)</f>
        <v>1.4042283234066775</v>
      </c>
      <c r="AR703" s="72">
        <f t="shared" si="106"/>
        <v>1.6123725660864654</v>
      </c>
      <c r="AS703" s="72">
        <f t="shared" si="107"/>
        <v>0.4158407937756699</v>
      </c>
      <c r="AT703" s="52">
        <f>IF(head!F$82="S235",235,IF(head!F$82="S275",275,IF(head!F$82="S355",355,IF(head!F$82="S420",420,460))))*AS703*J703/1000</f>
        <v>2652.9415912546101</v>
      </c>
      <c r="AU703" s="192"/>
      <c r="AV703" s="52"/>
      <c r="AW703" s="52"/>
      <c r="AX703" s="105"/>
      <c r="AY703" s="52"/>
      <c r="AZ703" s="191">
        <v>0</v>
      </c>
      <c r="BA703" s="77" t="str">
        <f t="shared" si="108"/>
        <v>HF SHS 260 x 7,1</v>
      </c>
    </row>
    <row r="704" spans="1:53">
      <c r="A704" s="61" t="s">
        <v>809</v>
      </c>
      <c r="B704" s="62">
        <f t="shared" si="103"/>
        <v>1232.6442705433892</v>
      </c>
      <c r="C704" s="63">
        <v>260</v>
      </c>
      <c r="D704" s="63">
        <v>260</v>
      </c>
      <c r="E704" s="124">
        <v>7.1</v>
      </c>
      <c r="F704" s="63"/>
      <c r="G704" s="63"/>
      <c r="H704" s="64">
        <v>56</v>
      </c>
      <c r="I704" s="65">
        <v>57</v>
      </c>
      <c r="J704" s="65">
        <v>7128</v>
      </c>
      <c r="K704" s="65">
        <v>1.0217000000000001</v>
      </c>
      <c r="L704" s="66">
        <v>75673000</v>
      </c>
      <c r="M704" s="67">
        <v>582100</v>
      </c>
      <c r="N704" s="67">
        <v>674200</v>
      </c>
      <c r="O704" s="68">
        <v>103</v>
      </c>
      <c r="P704" s="67">
        <v>75673000</v>
      </c>
      <c r="Q704" s="67">
        <v>582100</v>
      </c>
      <c r="R704" s="67">
        <v>674200</v>
      </c>
      <c r="S704" s="65">
        <v>103</v>
      </c>
      <c r="T704" s="66">
        <v>117552000</v>
      </c>
      <c r="U704" s="120"/>
      <c r="V704" s="69">
        <v>1</v>
      </c>
      <c r="W704" s="70">
        <v>2</v>
      </c>
      <c r="X704" s="70">
        <v>3</v>
      </c>
      <c r="Y704" s="70">
        <v>4</v>
      </c>
      <c r="Z704" s="70">
        <v>4</v>
      </c>
      <c r="AA704" s="71">
        <v>3</v>
      </c>
      <c r="AB704" s="70">
        <v>3</v>
      </c>
      <c r="AC704" s="70">
        <v>4</v>
      </c>
      <c r="AD704" s="70">
        <v>4</v>
      </c>
      <c r="AE704" s="70">
        <v>4</v>
      </c>
      <c r="AF704" s="69">
        <v>1</v>
      </c>
      <c r="AG704" s="70">
        <v>2</v>
      </c>
      <c r="AH704" s="70">
        <v>3</v>
      </c>
      <c r="AI704" s="70">
        <v>4</v>
      </c>
      <c r="AJ704" s="70">
        <v>4</v>
      </c>
      <c r="AK704" s="78">
        <f t="shared" si="104"/>
        <v>143.33613916947252</v>
      </c>
      <c r="AL704" s="79"/>
      <c r="AM704" s="80"/>
      <c r="AN704" s="81"/>
      <c r="AO704" s="70" t="str">
        <f>IF(head!$F$82="S460","a0","a")</f>
        <v>a</v>
      </c>
      <c r="AP704" s="70">
        <f t="shared" si="105"/>
        <v>0.21</v>
      </c>
      <c r="AQ704" s="72">
        <f>IF(head!F$82="S235",235,IF(head!F$82="S275",275,IF(head!F$82="S355",355,IF(head!F$82="S420",420,460))))^0.5*head!$G$70*1000/(S704*3.1416*210000^0.5)</f>
        <v>1.2706221334126444</v>
      </c>
      <c r="AR704" s="72">
        <f t="shared" si="106"/>
        <v>1.4196556269673777</v>
      </c>
      <c r="AS704" s="72">
        <f t="shared" si="107"/>
        <v>0.48712645648321606</v>
      </c>
      <c r="AT704" s="52">
        <f>IF(head!F$82="S235",235,IF(head!F$82="S275",275,IF(head!F$82="S355",355,IF(head!F$82="S420",420,460))))*AS704*J704/1000</f>
        <v>1232.6442705433892</v>
      </c>
      <c r="AU704" s="192"/>
      <c r="AV704" s="52"/>
      <c r="AW704" s="52"/>
      <c r="AX704" s="105"/>
      <c r="AY704" s="52"/>
      <c r="AZ704" s="191">
        <v>0</v>
      </c>
      <c r="BA704" s="77" t="str">
        <f t="shared" si="108"/>
        <v>HF SHS 260 x 11</v>
      </c>
    </row>
    <row r="705" spans="1:53">
      <c r="A705" s="61" t="s">
        <v>810</v>
      </c>
      <c r="B705" s="62">
        <f t="shared" si="103"/>
        <v>1825.0683682078127</v>
      </c>
      <c r="C705" s="63">
        <v>260</v>
      </c>
      <c r="D705" s="63">
        <v>260</v>
      </c>
      <c r="E705" s="124">
        <v>11</v>
      </c>
      <c r="F705" s="63"/>
      <c r="G705" s="63"/>
      <c r="H705" s="64">
        <v>85</v>
      </c>
      <c r="I705" s="65">
        <v>86.6</v>
      </c>
      <c r="J705" s="65">
        <v>10826</v>
      </c>
      <c r="K705" s="65">
        <v>1.0117</v>
      </c>
      <c r="L705" s="66">
        <v>111115000</v>
      </c>
      <c r="M705" s="67">
        <v>854700</v>
      </c>
      <c r="N705" s="67">
        <v>1006300</v>
      </c>
      <c r="O705" s="68">
        <v>101.3</v>
      </c>
      <c r="P705" s="67">
        <v>111115000</v>
      </c>
      <c r="Q705" s="67">
        <v>854700</v>
      </c>
      <c r="R705" s="67">
        <v>1006300</v>
      </c>
      <c r="S705" s="65">
        <v>101.3</v>
      </c>
      <c r="T705" s="66">
        <v>175941000</v>
      </c>
      <c r="U705" s="120"/>
      <c r="V705" s="69">
        <v>1</v>
      </c>
      <c r="W705" s="70">
        <v>1</v>
      </c>
      <c r="X705" s="70">
        <v>1</v>
      </c>
      <c r="Y705" s="70">
        <v>1</v>
      </c>
      <c r="Z705" s="70">
        <v>1</v>
      </c>
      <c r="AA705" s="71">
        <v>1</v>
      </c>
      <c r="AB705" s="70">
        <v>1</v>
      </c>
      <c r="AC705" s="70">
        <v>1</v>
      </c>
      <c r="AD705" s="70">
        <v>1</v>
      </c>
      <c r="AE705" s="70">
        <v>1</v>
      </c>
      <c r="AF705" s="69">
        <v>1</v>
      </c>
      <c r="AG705" s="70">
        <v>1</v>
      </c>
      <c r="AH705" s="70">
        <v>1</v>
      </c>
      <c r="AI705" s="70">
        <v>1</v>
      </c>
      <c r="AJ705" s="70">
        <v>1</v>
      </c>
      <c r="AK705" s="78">
        <f t="shared" si="104"/>
        <v>93.450951413264363</v>
      </c>
      <c r="AL705" s="79"/>
      <c r="AM705" s="80"/>
      <c r="AN705" s="81"/>
      <c r="AO705" s="70" t="str">
        <f>IF(head!$F$82="S460","a0","a")</f>
        <v>a</v>
      </c>
      <c r="AP705" s="70">
        <f t="shared" si="105"/>
        <v>0.21</v>
      </c>
      <c r="AQ705" s="72">
        <f>IF(head!F$82="S235",235,IF(head!F$82="S275",275,IF(head!F$82="S355",355,IF(head!F$82="S420",420,460))))^0.5*head!$G$70*1000/(S705*3.1416*210000^0.5)</f>
        <v>1.2919455058391149</v>
      </c>
      <c r="AR705" s="72">
        <f t="shared" si="106"/>
        <v>1.4492158731420504</v>
      </c>
      <c r="AS705" s="72">
        <f t="shared" si="107"/>
        <v>0.47487877858150901</v>
      </c>
      <c r="AT705" s="52">
        <f>IF(head!F$82="S235",235,IF(head!F$82="S275",275,IF(head!F$82="S355",355,IF(head!F$82="S420",420,460))))*AS705*J705/1000</f>
        <v>1825.0683682078127</v>
      </c>
      <c r="AU705" s="192"/>
      <c r="AV705" s="52"/>
      <c r="AW705" s="52"/>
      <c r="AX705" s="105"/>
      <c r="AY705" s="52"/>
      <c r="AZ705" s="191">
        <v>0</v>
      </c>
      <c r="BA705" s="77" t="str">
        <f t="shared" si="108"/>
        <v>HF SHS 300 x 8</v>
      </c>
    </row>
    <row r="706" spans="1:53">
      <c r="A706" s="61" t="s">
        <v>143</v>
      </c>
      <c r="B706" s="62">
        <f t="shared" si="103"/>
        <v>1962.9208141549702</v>
      </c>
      <c r="C706" s="63">
        <v>300</v>
      </c>
      <c r="D706" s="63">
        <v>300</v>
      </c>
      <c r="E706" s="124">
        <v>8</v>
      </c>
      <c r="F706" s="63"/>
      <c r="G706" s="63"/>
      <c r="H706" s="64">
        <v>72.8</v>
      </c>
      <c r="I706" s="65">
        <v>74.2</v>
      </c>
      <c r="J706" s="65">
        <v>9275</v>
      </c>
      <c r="K706" s="65">
        <v>1.1794</v>
      </c>
      <c r="L706" s="66">
        <v>131281000</v>
      </c>
      <c r="M706" s="67">
        <v>875200</v>
      </c>
      <c r="N706" s="67">
        <v>1012900</v>
      </c>
      <c r="O706" s="68">
        <v>119</v>
      </c>
      <c r="P706" s="67">
        <v>131281000</v>
      </c>
      <c r="Q706" s="67">
        <v>875200</v>
      </c>
      <c r="R706" s="67">
        <v>1012900</v>
      </c>
      <c r="S706" s="65">
        <v>119</v>
      </c>
      <c r="T706" s="66">
        <v>203767000</v>
      </c>
      <c r="U706" s="120"/>
      <c r="V706" s="69">
        <v>2</v>
      </c>
      <c r="W706" s="70">
        <v>2</v>
      </c>
      <c r="X706" s="70">
        <v>3</v>
      </c>
      <c r="Y706" s="70">
        <v>4</v>
      </c>
      <c r="Z706" s="70">
        <v>4</v>
      </c>
      <c r="AA706" s="71">
        <v>3</v>
      </c>
      <c r="AB706" s="70">
        <v>4</v>
      </c>
      <c r="AC706" s="70">
        <v>4</v>
      </c>
      <c r="AD706" s="70">
        <v>4</v>
      </c>
      <c r="AE706" s="70">
        <v>4</v>
      </c>
      <c r="AF706" s="69">
        <v>2</v>
      </c>
      <c r="AG706" s="70">
        <v>2</v>
      </c>
      <c r="AH706" s="70">
        <v>3</v>
      </c>
      <c r="AI706" s="70">
        <v>4</v>
      </c>
      <c r="AJ706" s="70">
        <v>4</v>
      </c>
      <c r="AK706" s="78">
        <f t="shared" si="104"/>
        <v>127.15902964959569</v>
      </c>
      <c r="AL706" s="79"/>
      <c r="AM706" s="80"/>
      <c r="AN706" s="81"/>
      <c r="AO706" s="70" t="str">
        <f>IF(head!$F$82="S460","a0","a")</f>
        <v>a</v>
      </c>
      <c r="AP706" s="70">
        <f t="shared" si="105"/>
        <v>0.21</v>
      </c>
      <c r="AQ706" s="72">
        <f>IF(head!F$82="S235",235,IF(head!F$82="S275",275,IF(head!F$82="S355",355,IF(head!F$82="S420",420,460))))^0.5*head!$G$70*1000/(S706*3.1416*210000^0.5)</f>
        <v>1.0997821827017005</v>
      </c>
      <c r="AR706" s="72">
        <f t="shared" si="106"/>
        <v>1.1992375538777367</v>
      </c>
      <c r="AS706" s="72">
        <f t="shared" si="107"/>
        <v>0.59615680927982084</v>
      </c>
      <c r="AT706" s="52">
        <f>IF(head!F$82="S235",235,IF(head!F$82="S275",275,IF(head!F$82="S355",355,IF(head!F$82="S420",420,460))))*AS706*J706/1000</f>
        <v>1962.9208141549702</v>
      </c>
      <c r="AU706" s="192"/>
      <c r="AV706" s="52"/>
      <c r="AW706" s="52"/>
      <c r="AX706" s="105"/>
      <c r="AY706" s="52"/>
      <c r="AZ706" s="191">
        <v>0</v>
      </c>
      <c r="BA706" s="77" t="str">
        <f t="shared" si="108"/>
        <v>HF SHS 300 x 10</v>
      </c>
    </row>
    <row r="707" spans="1:53">
      <c r="A707" s="61" t="s">
        <v>811</v>
      </c>
      <c r="B707" s="62">
        <f t="shared" si="103"/>
        <v>2408.9733853315938</v>
      </c>
      <c r="C707" s="63">
        <v>300</v>
      </c>
      <c r="D707" s="63">
        <v>300</v>
      </c>
      <c r="E707" s="124">
        <v>10</v>
      </c>
      <c r="F707" s="63"/>
      <c r="G707" s="63"/>
      <c r="H707" s="64">
        <v>90.2</v>
      </c>
      <c r="I707" s="65">
        <v>91.9</v>
      </c>
      <c r="J707" s="65">
        <v>11493</v>
      </c>
      <c r="K707" s="65">
        <v>1.1741999999999999</v>
      </c>
      <c r="L707" s="66">
        <v>160261000</v>
      </c>
      <c r="M707" s="67">
        <v>1068400</v>
      </c>
      <c r="N707" s="67">
        <v>1245500</v>
      </c>
      <c r="O707" s="68">
        <v>118.1</v>
      </c>
      <c r="P707" s="67">
        <v>160261000</v>
      </c>
      <c r="Q707" s="67">
        <v>1068400</v>
      </c>
      <c r="R707" s="67">
        <v>1245500</v>
      </c>
      <c r="S707" s="65">
        <v>118.1</v>
      </c>
      <c r="T707" s="66">
        <v>250875000</v>
      </c>
      <c r="U707" s="120"/>
      <c r="V707" s="69">
        <v>1</v>
      </c>
      <c r="W707" s="70">
        <v>1</v>
      </c>
      <c r="X707" s="70">
        <v>1</v>
      </c>
      <c r="Y707" s="70">
        <v>2</v>
      </c>
      <c r="Z707" s="70">
        <v>2</v>
      </c>
      <c r="AA707" s="71">
        <v>1</v>
      </c>
      <c r="AB707" s="70">
        <v>2</v>
      </c>
      <c r="AC707" s="70">
        <v>2</v>
      </c>
      <c r="AD707" s="70">
        <v>3</v>
      </c>
      <c r="AE707" s="70">
        <v>4</v>
      </c>
      <c r="AF707" s="69">
        <v>1</v>
      </c>
      <c r="AG707" s="70">
        <v>1</v>
      </c>
      <c r="AH707" s="70">
        <v>1</v>
      </c>
      <c r="AI707" s="70">
        <v>2</v>
      </c>
      <c r="AJ707" s="70">
        <v>2</v>
      </c>
      <c r="AK707" s="78">
        <f t="shared" si="104"/>
        <v>102.16653615244061</v>
      </c>
      <c r="AL707" s="79"/>
      <c r="AM707" s="80"/>
      <c r="AN707" s="81"/>
      <c r="AO707" s="70" t="str">
        <f>IF(head!$F$82="S460","a0","a")</f>
        <v>a</v>
      </c>
      <c r="AP707" s="70">
        <f t="shared" si="105"/>
        <v>0.21</v>
      </c>
      <c r="AQ707" s="72">
        <f>IF(head!F$82="S235",235,IF(head!F$82="S275",275,IF(head!F$82="S355",355,IF(head!F$82="S420",420,460))))^0.5*head!$G$70*1000/(S707*3.1416*210000^0.5)</f>
        <v>1.108163249292992</v>
      </c>
      <c r="AR707" s="72">
        <f t="shared" si="106"/>
        <v>1.2093700347175651</v>
      </c>
      <c r="AS707" s="72">
        <f t="shared" si="107"/>
        <v>0.590432482559891</v>
      </c>
      <c r="AT707" s="52">
        <f>IF(head!F$82="S235",235,IF(head!F$82="S275",275,IF(head!F$82="S355",355,IF(head!F$82="S420",420,460))))*AS707*J707/1000</f>
        <v>2408.9733853315938</v>
      </c>
      <c r="AU707" s="192"/>
      <c r="AV707" s="52"/>
      <c r="AW707" s="52"/>
      <c r="AX707" s="105"/>
      <c r="AY707" s="52"/>
      <c r="AZ707" s="191">
        <v>0</v>
      </c>
      <c r="BA707" s="77" t="str">
        <f t="shared" si="108"/>
        <v>HF SHS 300 x 12,5</v>
      </c>
    </row>
    <row r="708" spans="1:53">
      <c r="A708" s="61" t="s">
        <v>812</v>
      </c>
      <c r="B708" s="62">
        <f t="shared" si="103"/>
        <v>2942.1512622995133</v>
      </c>
      <c r="C708" s="63">
        <v>300</v>
      </c>
      <c r="D708" s="63">
        <v>300</v>
      </c>
      <c r="E708" s="124">
        <v>12.5</v>
      </c>
      <c r="F708" s="63"/>
      <c r="G708" s="63"/>
      <c r="H708" s="64">
        <v>111.5</v>
      </c>
      <c r="I708" s="65">
        <v>113.7</v>
      </c>
      <c r="J708" s="65">
        <v>14207</v>
      </c>
      <c r="K708" s="65">
        <v>1.1677999999999999</v>
      </c>
      <c r="L708" s="66">
        <v>194420000</v>
      </c>
      <c r="M708" s="67">
        <v>1296100</v>
      </c>
      <c r="N708" s="67">
        <v>1524800</v>
      </c>
      <c r="O708" s="68">
        <v>117</v>
      </c>
      <c r="P708" s="67">
        <v>194420000</v>
      </c>
      <c r="Q708" s="67">
        <v>1296100</v>
      </c>
      <c r="R708" s="67">
        <v>1524800</v>
      </c>
      <c r="S708" s="65">
        <v>117</v>
      </c>
      <c r="T708" s="66">
        <v>307596000</v>
      </c>
      <c r="U708" s="120"/>
      <c r="V708" s="69">
        <v>1</v>
      </c>
      <c r="W708" s="70">
        <v>1</v>
      </c>
      <c r="X708" s="70">
        <v>1</v>
      </c>
      <c r="Y708" s="70">
        <v>1</v>
      </c>
      <c r="Z708" s="70">
        <v>1</v>
      </c>
      <c r="AA708" s="71">
        <v>1</v>
      </c>
      <c r="AB708" s="70">
        <v>1</v>
      </c>
      <c r="AC708" s="70">
        <v>1</v>
      </c>
      <c r="AD708" s="70">
        <v>1</v>
      </c>
      <c r="AE708" s="70">
        <v>1</v>
      </c>
      <c r="AF708" s="69">
        <v>1</v>
      </c>
      <c r="AG708" s="70">
        <v>1</v>
      </c>
      <c r="AH708" s="70">
        <v>1</v>
      </c>
      <c r="AI708" s="70">
        <v>1</v>
      </c>
      <c r="AJ708" s="70">
        <v>1</v>
      </c>
      <c r="AK708" s="78">
        <f t="shared" si="104"/>
        <v>82.198916027310474</v>
      </c>
      <c r="AL708" s="79"/>
      <c r="AM708" s="80"/>
      <c r="AN708" s="81"/>
      <c r="AO708" s="70" t="str">
        <f>IF(head!$F$82="S460","a0","a")</f>
        <v>a</v>
      </c>
      <c r="AP708" s="70">
        <f t="shared" si="105"/>
        <v>0.21</v>
      </c>
      <c r="AQ708" s="72">
        <f>IF(head!F$82="S235",235,IF(head!F$82="S275",275,IF(head!F$82="S355",355,IF(head!F$82="S420",420,460))))^0.5*head!$G$70*1000/(S708*3.1416*210000^0.5)</f>
        <v>1.1185818781324988</v>
      </c>
      <c r="AR708" s="72">
        <f t="shared" si="106"/>
        <v>1.2220638062471265</v>
      </c>
      <c r="AS708" s="72">
        <f t="shared" si="107"/>
        <v>0.58335679838435395</v>
      </c>
      <c r="AT708" s="52">
        <f>IF(head!F$82="S235",235,IF(head!F$82="S275",275,IF(head!F$82="S355",355,IF(head!F$82="S420",420,460))))*AS708*J708/1000</f>
        <v>2942.1512622995133</v>
      </c>
      <c r="AU708" s="192"/>
      <c r="AV708" s="52"/>
      <c r="AW708" s="52"/>
      <c r="AX708" s="105"/>
      <c r="AY708" s="52"/>
      <c r="AZ708" s="191">
        <v>0</v>
      </c>
      <c r="BA708" s="77" t="str">
        <f t="shared" si="108"/>
        <v>HF SHS 300 x 16</v>
      </c>
    </row>
    <row r="709" spans="1:53">
      <c r="A709" s="61" t="s">
        <v>813</v>
      </c>
      <c r="B709" s="62">
        <f t="shared" si="103"/>
        <v>3640.7919954835984</v>
      </c>
      <c r="C709" s="63">
        <v>300</v>
      </c>
      <c r="D709" s="63">
        <v>300</v>
      </c>
      <c r="E709" s="124">
        <v>16</v>
      </c>
      <c r="F709" s="63"/>
      <c r="G709" s="63"/>
      <c r="H709" s="64">
        <v>140.5</v>
      </c>
      <c r="I709" s="65">
        <v>143.19999999999999</v>
      </c>
      <c r="J709" s="65">
        <v>17901</v>
      </c>
      <c r="K709" s="65">
        <v>1.1588000000000001</v>
      </c>
      <c r="L709" s="66">
        <v>238496000</v>
      </c>
      <c r="M709" s="67">
        <v>1590000</v>
      </c>
      <c r="N709" s="67">
        <v>1894900</v>
      </c>
      <c r="O709" s="68">
        <v>115.4</v>
      </c>
      <c r="P709" s="67">
        <v>238496000</v>
      </c>
      <c r="Q709" s="67">
        <v>1590000</v>
      </c>
      <c r="R709" s="67">
        <v>1894900</v>
      </c>
      <c r="S709" s="65">
        <v>115.4</v>
      </c>
      <c r="T709" s="66">
        <v>382957000</v>
      </c>
      <c r="U709" s="120"/>
      <c r="V709" s="69">
        <v>1</v>
      </c>
      <c r="W709" s="70">
        <v>1</v>
      </c>
      <c r="X709" s="70">
        <v>1</v>
      </c>
      <c r="Y709" s="70">
        <v>1</v>
      </c>
      <c r="Z709" s="70">
        <v>1</v>
      </c>
      <c r="AA709" s="71">
        <v>1</v>
      </c>
      <c r="AB709" s="70">
        <v>1</v>
      </c>
      <c r="AC709" s="70">
        <v>1</v>
      </c>
      <c r="AD709" s="70">
        <v>1</v>
      </c>
      <c r="AE709" s="70">
        <v>1</v>
      </c>
      <c r="AF709" s="69">
        <v>1</v>
      </c>
      <c r="AG709" s="70">
        <v>1</v>
      </c>
      <c r="AH709" s="70">
        <v>1</v>
      </c>
      <c r="AI709" s="70">
        <v>1</v>
      </c>
      <c r="AJ709" s="70">
        <v>1</v>
      </c>
      <c r="AK709" s="78">
        <f t="shared" si="104"/>
        <v>64.7338137534216</v>
      </c>
      <c r="AL709" s="79"/>
      <c r="AM709" s="80"/>
      <c r="AN709" s="81"/>
      <c r="AO709" s="70" t="str">
        <f>IF(head!$F$82="S460","a0","a")</f>
        <v>a</v>
      </c>
      <c r="AP709" s="70">
        <f t="shared" si="105"/>
        <v>0.21</v>
      </c>
      <c r="AQ709" s="72">
        <f>IF(head!F$82="S235",235,IF(head!F$82="S275",275,IF(head!F$82="S355",355,IF(head!F$82="S420",420,460))))^0.5*head!$G$70*1000/(S709*3.1416*210000^0.5)</f>
        <v>1.1340908123180446</v>
      </c>
      <c r="AR709" s="72">
        <f t="shared" si="106"/>
        <v>1.2411605205854959</v>
      </c>
      <c r="AS709" s="72">
        <f t="shared" si="107"/>
        <v>0.5729150382634377</v>
      </c>
      <c r="AT709" s="52">
        <f>IF(head!F$82="S235",235,IF(head!F$82="S275",275,IF(head!F$82="S355",355,IF(head!F$82="S420",420,460))))*AS709*J709/1000</f>
        <v>3640.7919954835984</v>
      </c>
      <c r="AU709" s="192"/>
      <c r="AV709" s="52"/>
      <c r="AW709" s="52"/>
      <c r="AX709" s="105"/>
      <c r="AY709" s="52"/>
      <c r="AZ709" s="191">
        <v>0</v>
      </c>
      <c r="BA709" s="77" t="str">
        <f t="shared" si="108"/>
        <v>HF SHS 350 x 8</v>
      </c>
    </row>
    <row r="710" spans="1:53">
      <c r="A710" s="61" t="s">
        <v>144</v>
      </c>
      <c r="B710" s="62">
        <f t="shared" si="103"/>
        <v>2732.9736469339878</v>
      </c>
      <c r="C710" s="63">
        <v>350</v>
      </c>
      <c r="D710" s="63">
        <v>350</v>
      </c>
      <c r="E710" s="124">
        <v>8</v>
      </c>
      <c r="F710" s="63"/>
      <c r="G710" s="63"/>
      <c r="H710" s="64">
        <v>85.4</v>
      </c>
      <c r="I710" s="65">
        <v>87</v>
      </c>
      <c r="J710" s="65">
        <v>10875</v>
      </c>
      <c r="K710" s="65">
        <v>1.3794</v>
      </c>
      <c r="L710" s="66">
        <v>211288000</v>
      </c>
      <c r="M710" s="67">
        <v>1207400</v>
      </c>
      <c r="N710" s="67">
        <v>1391600</v>
      </c>
      <c r="O710" s="68">
        <v>139.4</v>
      </c>
      <c r="P710" s="67">
        <v>211288000</v>
      </c>
      <c r="Q710" s="67">
        <v>1207400</v>
      </c>
      <c r="R710" s="67">
        <v>1391600</v>
      </c>
      <c r="S710" s="65">
        <v>139.4</v>
      </c>
      <c r="T710" s="66">
        <v>326354000</v>
      </c>
      <c r="U710" s="120"/>
      <c r="V710" s="69">
        <v>3</v>
      </c>
      <c r="W710" s="70">
        <v>4</v>
      </c>
      <c r="X710" s="70">
        <v>4</v>
      </c>
      <c r="Y710" s="70">
        <v>4</v>
      </c>
      <c r="Z710" s="70">
        <v>4</v>
      </c>
      <c r="AA710" s="71">
        <v>4</v>
      </c>
      <c r="AB710" s="70">
        <v>4</v>
      </c>
      <c r="AC710" s="70">
        <v>4</v>
      </c>
      <c r="AD710" s="70">
        <v>4</v>
      </c>
      <c r="AE710" s="70">
        <v>4</v>
      </c>
      <c r="AF710" s="69">
        <v>3</v>
      </c>
      <c r="AG710" s="70">
        <v>4</v>
      </c>
      <c r="AH710" s="70">
        <v>4</v>
      </c>
      <c r="AI710" s="70">
        <v>4</v>
      </c>
      <c r="AJ710" s="70">
        <v>4</v>
      </c>
      <c r="AK710" s="78">
        <f t="shared" si="104"/>
        <v>126.84137931034481</v>
      </c>
      <c r="AL710" s="79"/>
      <c r="AM710" s="80"/>
      <c r="AN710" s="81"/>
      <c r="AO710" s="70" t="str">
        <f>IF(head!$F$82="S460","a0","a")</f>
        <v>a</v>
      </c>
      <c r="AP710" s="70">
        <f t="shared" si="105"/>
        <v>0.21</v>
      </c>
      <c r="AQ710" s="72">
        <f>IF(head!F$82="S235",235,IF(head!F$82="S275",275,IF(head!F$82="S355",355,IF(head!F$82="S420",420,460))))^0.5*head!$G$70*1000/(S710*3.1416*210000^0.5)</f>
        <v>0.93883844864779298</v>
      </c>
      <c r="AR710" s="72">
        <f t="shared" si="106"/>
        <v>1.0182868534377156</v>
      </c>
      <c r="AS710" s="72">
        <f t="shared" si="107"/>
        <v>0.70790963818915009</v>
      </c>
      <c r="AT710" s="52">
        <f>IF(head!F$82="S235",235,IF(head!F$82="S275",275,IF(head!F$82="S355",355,IF(head!F$82="S420",420,460))))*AS710*J710/1000</f>
        <v>2732.9736469339878</v>
      </c>
      <c r="AU710" s="192"/>
      <c r="AV710" s="52"/>
      <c r="AW710" s="52"/>
      <c r="AX710" s="105"/>
      <c r="AY710" s="52"/>
      <c r="AZ710" s="191">
        <v>0</v>
      </c>
      <c r="BA710" s="77" t="str">
        <f t="shared" si="108"/>
        <v>HF SHS 350 x 10</v>
      </c>
    </row>
    <row r="711" spans="1:53">
      <c r="A711" s="61" t="s">
        <v>145</v>
      </c>
      <c r="B711" s="62">
        <f t="shared" si="103"/>
        <v>3370.9615631120578</v>
      </c>
      <c r="C711" s="63">
        <v>350</v>
      </c>
      <c r="D711" s="63">
        <v>350</v>
      </c>
      <c r="E711" s="124">
        <v>10</v>
      </c>
      <c r="F711" s="63"/>
      <c r="G711" s="63"/>
      <c r="H711" s="64">
        <v>105.9</v>
      </c>
      <c r="I711" s="65">
        <v>107.9</v>
      </c>
      <c r="J711" s="65">
        <v>13493</v>
      </c>
      <c r="K711" s="65">
        <v>1.3742000000000001</v>
      </c>
      <c r="L711" s="66">
        <v>258836000</v>
      </c>
      <c r="M711" s="67">
        <v>1479100</v>
      </c>
      <c r="N711" s="67">
        <v>1715300</v>
      </c>
      <c r="O711" s="68">
        <v>138.5</v>
      </c>
      <c r="P711" s="67">
        <v>258836000</v>
      </c>
      <c r="Q711" s="67">
        <v>1479100</v>
      </c>
      <c r="R711" s="67">
        <v>1715300</v>
      </c>
      <c r="S711" s="65">
        <v>138.5</v>
      </c>
      <c r="T711" s="66">
        <v>402729000</v>
      </c>
      <c r="U711" s="120"/>
      <c r="V711" s="69">
        <v>1</v>
      </c>
      <c r="W711" s="70">
        <v>2</v>
      </c>
      <c r="X711" s="70">
        <v>3</v>
      </c>
      <c r="Y711" s="70">
        <v>3</v>
      </c>
      <c r="Z711" s="70">
        <v>4</v>
      </c>
      <c r="AA711" s="71">
        <v>2</v>
      </c>
      <c r="AB711" s="70">
        <v>3</v>
      </c>
      <c r="AC711" s="70">
        <v>4</v>
      </c>
      <c r="AD711" s="70">
        <v>4</v>
      </c>
      <c r="AE711" s="70">
        <v>4</v>
      </c>
      <c r="AF711" s="69">
        <v>1</v>
      </c>
      <c r="AG711" s="70">
        <v>2</v>
      </c>
      <c r="AH711" s="70">
        <v>3</v>
      </c>
      <c r="AI711" s="70">
        <v>3</v>
      </c>
      <c r="AJ711" s="70">
        <v>4</v>
      </c>
      <c r="AK711" s="78">
        <f t="shared" si="104"/>
        <v>101.84540131920257</v>
      </c>
      <c r="AL711" s="79"/>
      <c r="AM711" s="80"/>
      <c r="AN711" s="81"/>
      <c r="AO711" s="70" t="str">
        <f>IF(head!$F$82="S460","a0","a")</f>
        <v>a</v>
      </c>
      <c r="AP711" s="70">
        <f t="shared" si="105"/>
        <v>0.21</v>
      </c>
      <c r="AQ711" s="72">
        <f>IF(head!F$82="S235",235,IF(head!F$82="S275",275,IF(head!F$82="S355",355,IF(head!F$82="S420",420,460))))^0.5*head!$G$70*1000/(S711*3.1416*210000^0.5)</f>
        <v>0.94493920390976416</v>
      </c>
      <c r="AR711" s="72">
        <f t="shared" si="106"/>
        <v>1.0246736659533346</v>
      </c>
      <c r="AS711" s="72">
        <f t="shared" si="107"/>
        <v>0.70374760060502062</v>
      </c>
      <c r="AT711" s="52">
        <f>IF(head!F$82="S235",235,IF(head!F$82="S275",275,IF(head!F$82="S355",355,IF(head!F$82="S420",420,460))))*AS711*J711/1000</f>
        <v>3370.9615631120578</v>
      </c>
      <c r="AU711" s="192"/>
      <c r="AV711" s="52"/>
      <c r="AW711" s="52"/>
      <c r="AX711" s="105"/>
      <c r="AY711" s="52"/>
      <c r="AZ711" s="191">
        <v>0</v>
      </c>
      <c r="BA711" s="77" t="str">
        <f t="shared" si="108"/>
        <v>HF SHS 350 x 12,5</v>
      </c>
    </row>
    <row r="712" spans="1:53">
      <c r="A712" s="61" t="s">
        <v>814</v>
      </c>
      <c r="B712" s="62">
        <f t="shared" si="103"/>
        <v>4143.1729231658283</v>
      </c>
      <c r="C712" s="63">
        <v>350</v>
      </c>
      <c r="D712" s="63">
        <v>350</v>
      </c>
      <c r="E712" s="124">
        <v>12.5</v>
      </c>
      <c r="F712" s="63"/>
      <c r="G712" s="63"/>
      <c r="H712" s="64">
        <v>131.19999999999999</v>
      </c>
      <c r="I712" s="65">
        <v>133.69999999999999</v>
      </c>
      <c r="J712" s="65">
        <v>16707</v>
      </c>
      <c r="K712" s="65">
        <v>1.3677999999999999</v>
      </c>
      <c r="L712" s="66">
        <v>315414000</v>
      </c>
      <c r="M712" s="67">
        <v>1802400</v>
      </c>
      <c r="N712" s="67">
        <v>2106600</v>
      </c>
      <c r="O712" s="68">
        <v>137.4</v>
      </c>
      <c r="P712" s="67">
        <v>315414000</v>
      </c>
      <c r="Q712" s="67">
        <v>1802400</v>
      </c>
      <c r="R712" s="67">
        <v>2106600</v>
      </c>
      <c r="S712" s="65">
        <v>137.4</v>
      </c>
      <c r="T712" s="66">
        <v>495255000</v>
      </c>
      <c r="U712" s="120"/>
      <c r="V712" s="69">
        <v>1</v>
      </c>
      <c r="W712" s="70">
        <v>1</v>
      </c>
      <c r="X712" s="70">
        <v>1</v>
      </c>
      <c r="Y712" s="70">
        <v>1</v>
      </c>
      <c r="Z712" s="70">
        <v>2</v>
      </c>
      <c r="AA712" s="71">
        <v>1</v>
      </c>
      <c r="AB712" s="70">
        <v>1</v>
      </c>
      <c r="AC712" s="70">
        <v>2</v>
      </c>
      <c r="AD712" s="70">
        <v>2</v>
      </c>
      <c r="AE712" s="70">
        <v>3</v>
      </c>
      <c r="AF712" s="69">
        <v>1</v>
      </c>
      <c r="AG712" s="70">
        <v>1</v>
      </c>
      <c r="AH712" s="70">
        <v>1</v>
      </c>
      <c r="AI712" s="70">
        <v>1</v>
      </c>
      <c r="AJ712" s="70">
        <v>2</v>
      </c>
      <c r="AK712" s="78">
        <f t="shared" si="104"/>
        <v>81.869874902735376</v>
      </c>
      <c r="AL712" s="79"/>
      <c r="AM712" s="80"/>
      <c r="AN712" s="81"/>
      <c r="AO712" s="70" t="str">
        <f>IF(head!$F$82="S460","a0","a")</f>
        <v>a</v>
      </c>
      <c r="AP712" s="70">
        <f t="shared" si="105"/>
        <v>0.21</v>
      </c>
      <c r="AQ712" s="72">
        <f>IF(head!F$82="S235",235,IF(head!F$82="S275",275,IF(head!F$82="S355",355,IF(head!F$82="S420",420,460))))^0.5*head!$G$70*1000/(S712*3.1416*210000^0.5)</f>
        <v>0.95250421937046825</v>
      </c>
      <c r="AR712" s="72">
        <f t="shared" si="106"/>
        <v>1.0326450869931718</v>
      </c>
      <c r="AS712" s="72">
        <f t="shared" si="107"/>
        <v>0.69856405355363882</v>
      </c>
      <c r="AT712" s="52">
        <f>IF(head!F$82="S235",235,IF(head!F$82="S275",275,IF(head!F$82="S355",355,IF(head!F$82="S420",420,460))))*AS712*J712/1000</f>
        <v>4143.1729231658283</v>
      </c>
      <c r="AU712" s="192"/>
      <c r="AV712" s="52"/>
      <c r="AW712" s="52"/>
      <c r="AX712" s="105"/>
      <c r="AY712" s="52"/>
      <c r="AZ712" s="191">
        <v>0</v>
      </c>
      <c r="BA712" s="77" t="str">
        <f t="shared" si="108"/>
        <v>HF SHS 350 x 16</v>
      </c>
    </row>
    <row r="713" spans="1:53">
      <c r="A713" s="61" t="s">
        <v>815</v>
      </c>
      <c r="B713" s="62">
        <f t="shared" si="103"/>
        <v>5174.9330196278443</v>
      </c>
      <c r="C713" s="63">
        <v>350</v>
      </c>
      <c r="D713" s="63">
        <v>350</v>
      </c>
      <c r="E713" s="124">
        <v>16</v>
      </c>
      <c r="F713" s="63"/>
      <c r="G713" s="63"/>
      <c r="H713" s="64">
        <v>165.6</v>
      </c>
      <c r="I713" s="65">
        <v>168.8</v>
      </c>
      <c r="J713" s="65">
        <v>21101</v>
      </c>
      <c r="K713" s="65">
        <v>1.3588</v>
      </c>
      <c r="L713" s="66">
        <v>389421000</v>
      </c>
      <c r="M713" s="67">
        <v>2225300</v>
      </c>
      <c r="N713" s="67">
        <v>2629700</v>
      </c>
      <c r="O713" s="68">
        <v>135.80000000000001</v>
      </c>
      <c r="P713" s="67">
        <v>389421000</v>
      </c>
      <c r="Q713" s="67">
        <v>2225300</v>
      </c>
      <c r="R713" s="67">
        <v>2629700</v>
      </c>
      <c r="S713" s="65">
        <v>135.80000000000001</v>
      </c>
      <c r="T713" s="66">
        <v>619290000</v>
      </c>
      <c r="U713" s="120"/>
      <c r="V713" s="69">
        <v>1</v>
      </c>
      <c r="W713" s="70">
        <v>1</v>
      </c>
      <c r="X713" s="70">
        <v>1</v>
      </c>
      <c r="Y713" s="70">
        <v>1</v>
      </c>
      <c r="Z713" s="70">
        <v>1</v>
      </c>
      <c r="AA713" s="71">
        <v>1</v>
      </c>
      <c r="AB713" s="70">
        <v>1</v>
      </c>
      <c r="AC713" s="70">
        <v>1</v>
      </c>
      <c r="AD713" s="70">
        <v>1</v>
      </c>
      <c r="AE713" s="70">
        <v>1</v>
      </c>
      <c r="AF713" s="69">
        <v>1</v>
      </c>
      <c r="AG713" s="70">
        <v>1</v>
      </c>
      <c r="AH713" s="70">
        <v>1</v>
      </c>
      <c r="AI713" s="70">
        <v>1</v>
      </c>
      <c r="AJ713" s="70">
        <v>1</v>
      </c>
      <c r="AK713" s="78">
        <f t="shared" si="104"/>
        <v>64.395052367186395</v>
      </c>
      <c r="AL713" s="79"/>
      <c r="AM713" s="80"/>
      <c r="AN713" s="81"/>
      <c r="AO713" s="70" t="str">
        <f>IF(head!$F$82="S460","a0","a")</f>
        <v>a</v>
      </c>
      <c r="AP713" s="70">
        <f t="shared" si="105"/>
        <v>0.21</v>
      </c>
      <c r="AQ713" s="72">
        <f>IF(head!F$82="S235",235,IF(head!F$82="S275",275,IF(head!F$82="S355",355,IF(head!F$82="S420",420,460))))^0.5*head!$G$70*1000/(S713*3.1416*210000^0.5)</f>
        <v>0.96372665494478893</v>
      </c>
      <c r="AR713" s="72">
        <f t="shared" si="106"/>
        <v>1.0445758314947389</v>
      </c>
      <c r="AS713" s="72">
        <f t="shared" si="107"/>
        <v>0.69083342550721427</v>
      </c>
      <c r="AT713" s="52">
        <f>IF(head!F$82="S235",235,IF(head!F$82="S275",275,IF(head!F$82="S355",355,IF(head!F$82="S420",420,460))))*AS713*J713/1000</f>
        <v>5174.9330196278443</v>
      </c>
      <c r="AU713" s="192"/>
      <c r="AV713" s="52"/>
      <c r="AW713" s="52"/>
      <c r="AX713" s="105"/>
      <c r="AY713" s="52"/>
      <c r="AZ713" s="191">
        <v>0</v>
      </c>
      <c r="BA713" s="77" t="str">
        <f t="shared" si="108"/>
        <v>HF SHS 400 x 10</v>
      </c>
    </row>
    <row r="714" spans="1:53">
      <c r="A714" s="61" t="s">
        <v>150</v>
      </c>
      <c r="B714" s="62">
        <f t="shared" si="103"/>
        <v>4300.6026321256304</v>
      </c>
      <c r="C714" s="63">
        <v>400</v>
      </c>
      <c r="D714" s="63">
        <v>400</v>
      </c>
      <c r="E714" s="124">
        <v>10</v>
      </c>
      <c r="F714" s="63"/>
      <c r="G714" s="63"/>
      <c r="H714" s="64">
        <v>121.6</v>
      </c>
      <c r="I714" s="65">
        <v>123.9</v>
      </c>
      <c r="J714" s="65">
        <v>15493</v>
      </c>
      <c r="K714" s="65">
        <v>1.5742</v>
      </c>
      <c r="L714" s="66">
        <v>391276000</v>
      </c>
      <c r="M714" s="67">
        <v>1956400</v>
      </c>
      <c r="N714" s="67">
        <v>2260100</v>
      </c>
      <c r="O714" s="68">
        <v>158.9</v>
      </c>
      <c r="P714" s="67">
        <v>391276000</v>
      </c>
      <c r="Q714" s="67">
        <v>1956400</v>
      </c>
      <c r="R714" s="67">
        <v>2260100</v>
      </c>
      <c r="S714" s="65">
        <v>158.9</v>
      </c>
      <c r="T714" s="66">
        <v>606023000</v>
      </c>
      <c r="U714" s="120"/>
      <c r="V714" s="69">
        <v>2</v>
      </c>
      <c r="W714" s="70">
        <v>3</v>
      </c>
      <c r="X714" s="70">
        <v>4</v>
      </c>
      <c r="Y714" s="70">
        <v>4</v>
      </c>
      <c r="Z714" s="70">
        <v>4</v>
      </c>
      <c r="AA714" s="71">
        <v>4</v>
      </c>
      <c r="AB714" s="70">
        <v>4</v>
      </c>
      <c r="AC714" s="70">
        <v>4</v>
      </c>
      <c r="AD714" s="70">
        <v>4</v>
      </c>
      <c r="AE714" s="70">
        <v>4</v>
      </c>
      <c r="AF714" s="69">
        <v>2</v>
      </c>
      <c r="AG714" s="70">
        <v>3</v>
      </c>
      <c r="AH714" s="70">
        <v>4</v>
      </c>
      <c r="AI714" s="70">
        <v>4</v>
      </c>
      <c r="AJ714" s="70">
        <v>4</v>
      </c>
      <c r="AK714" s="78">
        <f t="shared" si="104"/>
        <v>101.60717743497064</v>
      </c>
      <c r="AL714" s="79"/>
      <c r="AM714" s="80"/>
      <c r="AN714" s="81"/>
      <c r="AO714" s="70" t="str">
        <f>IF(head!$F$82="S460","a0","a")</f>
        <v>a</v>
      </c>
      <c r="AP714" s="70">
        <f t="shared" si="105"/>
        <v>0.21</v>
      </c>
      <c r="AQ714" s="72">
        <f>IF(head!F$82="S235",235,IF(head!F$82="S275",275,IF(head!F$82="S355",355,IF(head!F$82="S420",420,460))))^0.5*head!$G$70*1000/(S714*3.1416*210000^0.5)</f>
        <v>0.82362542316867438</v>
      </c>
      <c r="AR714" s="72">
        <f t="shared" si="106"/>
        <v>0.90466008827759969</v>
      </c>
      <c r="AS714" s="72">
        <f t="shared" si="107"/>
        <v>0.7819256187711543</v>
      </c>
      <c r="AT714" s="52">
        <f>IF(head!F$82="S235",235,IF(head!F$82="S275",275,IF(head!F$82="S355",355,IF(head!F$82="S420",420,460))))*AS714*J714/1000</f>
        <v>4300.6026321256304</v>
      </c>
      <c r="AU714" s="192"/>
      <c r="AV714" s="52"/>
      <c r="AW714" s="52"/>
      <c r="AX714" s="105"/>
      <c r="AY714" s="52"/>
      <c r="AZ714" s="191">
        <v>0</v>
      </c>
      <c r="BA714" s="77" t="str">
        <f t="shared" si="108"/>
        <v>HF SHS 400 x 12,5</v>
      </c>
    </row>
    <row r="715" spans="1:53">
      <c r="A715" s="61" t="s">
        <v>816</v>
      </c>
      <c r="B715" s="62">
        <f t="shared" si="103"/>
        <v>5308.1613398545669</v>
      </c>
      <c r="C715" s="63">
        <v>400</v>
      </c>
      <c r="D715" s="63">
        <v>400</v>
      </c>
      <c r="E715" s="124">
        <v>12.5</v>
      </c>
      <c r="F715" s="63"/>
      <c r="G715" s="63"/>
      <c r="H715" s="64">
        <v>150.80000000000001</v>
      </c>
      <c r="I715" s="65">
        <v>153.69999999999999</v>
      </c>
      <c r="J715" s="65">
        <v>19207</v>
      </c>
      <c r="K715" s="65">
        <v>1.5678000000000001</v>
      </c>
      <c r="L715" s="66">
        <v>478386000</v>
      </c>
      <c r="M715" s="67">
        <v>2391900</v>
      </c>
      <c r="N715" s="67">
        <v>2782100</v>
      </c>
      <c r="O715" s="68">
        <v>157.80000000000001</v>
      </c>
      <c r="P715" s="67">
        <v>478386000</v>
      </c>
      <c r="Q715" s="67">
        <v>2391900</v>
      </c>
      <c r="R715" s="67">
        <v>2782100</v>
      </c>
      <c r="S715" s="65">
        <v>157.80000000000001</v>
      </c>
      <c r="T715" s="66">
        <v>746884000</v>
      </c>
      <c r="U715" s="120"/>
      <c r="V715" s="69">
        <v>1</v>
      </c>
      <c r="W715" s="70">
        <v>1</v>
      </c>
      <c r="X715" s="70">
        <v>2</v>
      </c>
      <c r="Y715" s="70">
        <v>2</v>
      </c>
      <c r="Z715" s="70">
        <v>3</v>
      </c>
      <c r="AA715" s="71">
        <v>1</v>
      </c>
      <c r="AB715" s="70">
        <v>2</v>
      </c>
      <c r="AC715" s="70">
        <v>3</v>
      </c>
      <c r="AD715" s="70">
        <v>4</v>
      </c>
      <c r="AE715" s="70">
        <v>4</v>
      </c>
      <c r="AF715" s="69">
        <v>1</v>
      </c>
      <c r="AG715" s="70">
        <v>1</v>
      </c>
      <c r="AH715" s="70">
        <v>2</v>
      </c>
      <c r="AI715" s="70">
        <v>2</v>
      </c>
      <c r="AJ715" s="70">
        <v>3</v>
      </c>
      <c r="AK715" s="78">
        <f t="shared" si="104"/>
        <v>81.626490342062795</v>
      </c>
      <c r="AL715" s="79"/>
      <c r="AM715" s="80"/>
      <c r="AN715" s="81"/>
      <c r="AO715" s="70" t="str">
        <f>IF(head!$F$82="S460","a0","a")</f>
        <v>a</v>
      </c>
      <c r="AP715" s="70">
        <f t="shared" si="105"/>
        <v>0.21</v>
      </c>
      <c r="AQ715" s="72">
        <f>IF(head!F$82="S235",235,IF(head!F$82="S275",275,IF(head!F$82="S355",355,IF(head!F$82="S420",420,460))))^0.5*head!$G$70*1000/(S715*3.1416*210000^0.5)</f>
        <v>0.82936679177124428</v>
      </c>
      <c r="AR715" s="72">
        <f t="shared" si="106"/>
        <v>0.91000815078244379</v>
      </c>
      <c r="AS715" s="72">
        <f t="shared" si="107"/>
        <v>0.77849571273597695</v>
      </c>
      <c r="AT715" s="52">
        <f>IF(head!F$82="S235",235,IF(head!F$82="S275",275,IF(head!F$82="S355",355,IF(head!F$82="S420",420,460))))*AS715*J715/1000</f>
        <v>5308.1613398545669</v>
      </c>
      <c r="AU715" s="192"/>
      <c r="AV715" s="52"/>
      <c r="AW715" s="52"/>
      <c r="AX715" s="105"/>
      <c r="AY715" s="52"/>
      <c r="AZ715" s="191">
        <v>0</v>
      </c>
      <c r="BA715" s="77" t="str">
        <f t="shared" si="108"/>
        <v>HF SHS 400 x 16</v>
      </c>
    </row>
    <row r="716" spans="1:53">
      <c r="A716" s="61" t="s">
        <v>151</v>
      </c>
      <c r="B716" s="62">
        <f t="shared" si="103"/>
        <v>6674.506817524124</v>
      </c>
      <c r="C716" s="63">
        <v>400</v>
      </c>
      <c r="D716" s="63">
        <v>400</v>
      </c>
      <c r="E716" s="124">
        <v>16</v>
      </c>
      <c r="F716" s="63"/>
      <c r="G716" s="63"/>
      <c r="H716" s="64">
        <v>190.8</v>
      </c>
      <c r="I716" s="65">
        <v>194.4</v>
      </c>
      <c r="J716" s="65">
        <v>24301</v>
      </c>
      <c r="K716" s="65">
        <v>1.5588</v>
      </c>
      <c r="L716" s="66">
        <v>593442000</v>
      </c>
      <c r="M716" s="67">
        <v>2967200</v>
      </c>
      <c r="N716" s="67">
        <v>3484400</v>
      </c>
      <c r="O716" s="68">
        <v>156.30000000000001</v>
      </c>
      <c r="P716" s="67">
        <v>593442000</v>
      </c>
      <c r="Q716" s="67">
        <v>2967200</v>
      </c>
      <c r="R716" s="67">
        <v>3484400</v>
      </c>
      <c r="S716" s="65">
        <v>156.30000000000001</v>
      </c>
      <c r="T716" s="66">
        <v>936911000</v>
      </c>
      <c r="U716" s="120"/>
      <c r="V716" s="69">
        <v>1</v>
      </c>
      <c r="W716" s="70">
        <v>1</v>
      </c>
      <c r="X716" s="70">
        <v>1</v>
      </c>
      <c r="Y716" s="70">
        <v>1</v>
      </c>
      <c r="Z716" s="70">
        <v>1</v>
      </c>
      <c r="AA716" s="71">
        <v>1</v>
      </c>
      <c r="AB716" s="70">
        <v>1</v>
      </c>
      <c r="AC716" s="70">
        <v>1</v>
      </c>
      <c r="AD716" s="70">
        <v>2</v>
      </c>
      <c r="AE716" s="70">
        <v>2</v>
      </c>
      <c r="AF716" s="69">
        <v>1</v>
      </c>
      <c r="AG716" s="70">
        <v>1</v>
      </c>
      <c r="AH716" s="70">
        <v>1</v>
      </c>
      <c r="AI716" s="70">
        <v>1</v>
      </c>
      <c r="AJ716" s="70">
        <v>1</v>
      </c>
      <c r="AK716" s="78">
        <f t="shared" si="104"/>
        <v>64.145508415291545</v>
      </c>
      <c r="AL716" s="79"/>
      <c r="AM716" s="80"/>
      <c r="AN716" s="81"/>
      <c r="AO716" s="70" t="str">
        <f>IF(head!$F$82="S460","a0","a")</f>
        <v>a</v>
      </c>
      <c r="AP716" s="70">
        <f t="shared" si="105"/>
        <v>0.21</v>
      </c>
      <c r="AQ716" s="72">
        <f>IF(head!F$82="S235",235,IF(head!F$82="S275",275,IF(head!F$82="S355",355,IF(head!F$82="S420",420,460))))^0.5*head!$G$70*1000/(S716*3.1416*210000^0.5)</f>
        <v>0.83732616597250376</v>
      </c>
      <c r="AR716" s="72">
        <f t="shared" si="106"/>
        <v>0.91747680153821931</v>
      </c>
      <c r="AS716" s="72">
        <f t="shared" si="107"/>
        <v>0.77368946360221946</v>
      </c>
      <c r="AT716" s="52">
        <f>IF(head!F$82="S235",235,IF(head!F$82="S275",275,IF(head!F$82="S355",355,IF(head!F$82="S420",420,460))))*AS716*J716/1000</f>
        <v>6674.506817524124</v>
      </c>
      <c r="AU716" s="192"/>
      <c r="AV716" s="52"/>
      <c r="AW716" s="52"/>
      <c r="AX716" s="105"/>
      <c r="AY716" s="52"/>
      <c r="AZ716" s="191">
        <v>0</v>
      </c>
      <c r="BA716" s="77" t="str">
        <f t="shared" si="108"/>
        <v>HF SHS 400 x 20</v>
      </c>
    </row>
    <row r="717" spans="1:53">
      <c r="A717" s="61" t="s">
        <v>152</v>
      </c>
      <c r="B717" s="62">
        <f t="shared" si="103"/>
        <v>8168.3069700855376</v>
      </c>
      <c r="C717" s="63">
        <v>400</v>
      </c>
      <c r="D717" s="63">
        <v>400</v>
      </c>
      <c r="E717" s="124">
        <v>20</v>
      </c>
      <c r="F717" s="63"/>
      <c r="G717" s="63"/>
      <c r="H717" s="64">
        <v>235.3</v>
      </c>
      <c r="I717" s="65">
        <v>239.8</v>
      </c>
      <c r="J717" s="65">
        <v>29971</v>
      </c>
      <c r="K717" s="65">
        <v>1.5485</v>
      </c>
      <c r="L717" s="66">
        <v>715347000</v>
      </c>
      <c r="M717" s="67">
        <v>3576700</v>
      </c>
      <c r="N717" s="67">
        <v>4246900</v>
      </c>
      <c r="O717" s="68">
        <v>154.5</v>
      </c>
      <c r="P717" s="67">
        <v>715347000</v>
      </c>
      <c r="Q717" s="67">
        <v>3576700</v>
      </c>
      <c r="R717" s="67">
        <v>4246900</v>
      </c>
      <c r="S717" s="65">
        <v>154.5</v>
      </c>
      <c r="T717" s="66">
        <v>1143808000</v>
      </c>
      <c r="U717" s="120"/>
      <c r="V717" s="69">
        <v>1</v>
      </c>
      <c r="W717" s="70">
        <v>1</v>
      </c>
      <c r="X717" s="70">
        <v>1</v>
      </c>
      <c r="Y717" s="70">
        <v>1</v>
      </c>
      <c r="Z717" s="70">
        <v>1</v>
      </c>
      <c r="AA717" s="71">
        <v>1</v>
      </c>
      <c r="AB717" s="70">
        <v>1</v>
      </c>
      <c r="AC717" s="70">
        <v>1</v>
      </c>
      <c r="AD717" s="70">
        <v>1</v>
      </c>
      <c r="AE717" s="70">
        <v>1</v>
      </c>
      <c r="AF717" s="69">
        <v>1</v>
      </c>
      <c r="AG717" s="70">
        <v>1</v>
      </c>
      <c r="AH717" s="70">
        <v>1</v>
      </c>
      <c r="AI717" s="70">
        <v>1</v>
      </c>
      <c r="AJ717" s="70">
        <v>1</v>
      </c>
      <c r="AK717" s="78">
        <f t="shared" si="104"/>
        <v>51.666611057355439</v>
      </c>
      <c r="AL717" s="79"/>
      <c r="AM717" s="80"/>
      <c r="AN717" s="81"/>
      <c r="AO717" s="70" t="str">
        <f>IF(head!$F$82="S460","a0","a")</f>
        <v>a</v>
      </c>
      <c r="AP717" s="70">
        <f t="shared" si="105"/>
        <v>0.21</v>
      </c>
      <c r="AQ717" s="72">
        <f>IF(head!F$82="S235",235,IF(head!F$82="S275",275,IF(head!F$82="S355",355,IF(head!F$82="S420",420,460))))^0.5*head!$G$70*1000/(S717*3.1416*210000^0.5)</f>
        <v>0.84708142227509609</v>
      </c>
      <c r="AR717" s="72">
        <f t="shared" si="106"/>
        <v>0.9267170173206849</v>
      </c>
      <c r="AS717" s="72">
        <f t="shared" si="107"/>
        <v>0.76771930895504514</v>
      </c>
      <c r="AT717" s="52">
        <f>IF(head!F$82="S235",235,IF(head!F$82="S275",275,IF(head!F$82="S355",355,IF(head!F$82="S420",420,460))))*AS717*J717/1000</f>
        <v>8168.3069700855376</v>
      </c>
      <c r="AU717" s="192"/>
      <c r="AV717" s="52"/>
      <c r="AW717" s="52"/>
      <c r="AX717" s="105"/>
      <c r="AY717" s="52"/>
      <c r="AZ717" s="191">
        <v>0</v>
      </c>
      <c r="BA717" s="77" t="s">
        <v>153</v>
      </c>
    </row>
    <row r="718" spans="1:53">
      <c r="A718" s="109" t="s">
        <v>47</v>
      </c>
      <c r="B718" s="83">
        <v>0</v>
      </c>
      <c r="C718" s="110"/>
      <c r="D718" s="110"/>
      <c r="E718" s="127"/>
      <c r="F718" s="110"/>
      <c r="G718" s="110"/>
      <c r="H718" s="111"/>
      <c r="I718" s="112"/>
      <c r="J718" s="112"/>
      <c r="K718" s="112"/>
      <c r="L718" s="113"/>
      <c r="M718" s="112"/>
      <c r="N718" s="112"/>
      <c r="O718" s="114"/>
      <c r="P718" s="112"/>
      <c r="Q718" s="112"/>
      <c r="R718" s="112"/>
      <c r="S718" s="112"/>
      <c r="T718" s="113"/>
      <c r="U718" s="115"/>
      <c r="AA718" s="92"/>
      <c r="AF718" s="90"/>
      <c r="AK718" s="121"/>
      <c r="AM718" s="94"/>
      <c r="AN718" s="95"/>
      <c r="AQ718" s="96" t="s">
        <v>47</v>
      </c>
      <c r="AT718" s="50" t="s">
        <v>47</v>
      </c>
      <c r="AU718" s="201"/>
      <c r="AZ718" s="202"/>
      <c r="BA718" s="97" t="str">
        <f>A719</f>
        <v>IPE 80</v>
      </c>
    </row>
    <row r="719" spans="1:53">
      <c r="A719" s="109" t="s">
        <v>184</v>
      </c>
      <c r="B719" s="83">
        <f t="shared" ref="B719:B736" si="109">AT719</f>
        <v>1.7130210847328453</v>
      </c>
      <c r="C719" s="110">
        <v>80</v>
      </c>
      <c r="D719" s="110">
        <v>46</v>
      </c>
      <c r="E719" s="127">
        <v>3.8</v>
      </c>
      <c r="F719" s="110">
        <v>5.2</v>
      </c>
      <c r="G719" s="110">
        <v>5</v>
      </c>
      <c r="H719" s="111">
        <v>6.000070441733004</v>
      </c>
      <c r="I719" s="112">
        <v>6.1147214692820411</v>
      </c>
      <c r="J719" s="112">
        <v>764.34018366025521</v>
      </c>
      <c r="K719" s="112">
        <v>0.32781592653589792</v>
      </c>
      <c r="L719" s="113">
        <v>801376.6927121965</v>
      </c>
      <c r="M719" s="112">
        <v>20034.417317804913</v>
      </c>
      <c r="N719" s="112">
        <v>23216.958806408937</v>
      </c>
      <c r="O719" s="114">
        <v>32.379863039565706</v>
      </c>
      <c r="P719" s="112">
        <v>84890.303091941343</v>
      </c>
      <c r="Q719" s="112">
        <v>3690.8827431278846</v>
      </c>
      <c r="R719" s="112">
        <v>5817.5979339224277</v>
      </c>
      <c r="S719" s="112">
        <v>10.53866733957755</v>
      </c>
      <c r="T719" s="113">
        <v>6727.1257904959602</v>
      </c>
      <c r="U719" s="115">
        <v>115139406.774572</v>
      </c>
      <c r="V719" s="91">
        <v>1</v>
      </c>
      <c r="W719" s="91">
        <v>1</v>
      </c>
      <c r="X719" s="91">
        <v>1</v>
      </c>
      <c r="Y719" s="91">
        <v>1</v>
      </c>
      <c r="Z719" s="91">
        <v>1</v>
      </c>
      <c r="AA719" s="92">
        <v>1</v>
      </c>
      <c r="AB719" s="91">
        <v>1</v>
      </c>
      <c r="AC719" s="91">
        <v>1</v>
      </c>
      <c r="AD719" s="91">
        <v>1</v>
      </c>
      <c r="AE719" s="91">
        <v>1</v>
      </c>
      <c r="AF719" s="90">
        <v>1</v>
      </c>
      <c r="AG719" s="91">
        <v>1</v>
      </c>
      <c r="AH719" s="91">
        <v>1</v>
      </c>
      <c r="AI719" s="91">
        <v>1</v>
      </c>
      <c r="AJ719" s="91">
        <v>1</v>
      </c>
      <c r="AK719" s="93">
        <f t="shared" ref="AK719:AK736" si="110">K719/J719*1000000</f>
        <v>428.88746862170763</v>
      </c>
      <c r="AL719" s="116">
        <f t="shared" ref="AL719:AL736" si="111">(K719*1000-D719)/J719*1000</f>
        <v>368.70484184979534</v>
      </c>
      <c r="AM719" s="117">
        <f t="shared" ref="AM719:AM736" si="112">2*(C719+D719)/J719*1000</f>
        <v>329.69612927221493</v>
      </c>
      <c r="AN719" s="118">
        <f t="shared" ref="AN719:AN736" si="113">(2*C719+D719)/J719*1000</f>
        <v>269.51350250030271</v>
      </c>
      <c r="AO719" s="91" t="str">
        <f>IF(head!$F$82="S460","a0","b")</f>
        <v>b</v>
      </c>
      <c r="AP719" s="91">
        <f>IF(AO719="a0",0.13,IF(AO719="a",0.21,IF(AO719="b",0.34,IF(AO719="c",0.49,0.76))))</f>
        <v>0.34</v>
      </c>
      <c r="AQ719" s="96">
        <f>IF(head!F$82="S235",235,IF(head!F$82="S275",275,IF(head!F$82="S355",355,IF(head!F$82="S420",420,460))))^0.5*head!$G$70*1000/(S719*3.1416*210000^0.5)</f>
        <v>12.418465781722695</v>
      </c>
      <c r="AR719" s="96">
        <f>0.5*(1+AP719*(AQ719-0.2)+AQ719^2)</f>
        <v>79.686285368801592</v>
      </c>
      <c r="AS719" s="96">
        <f>IF(AQ719&lt;=0.2,1,1/(AR719+(AR719^2-AQ719^2)^0.5))</f>
        <v>6.3131726022592231E-3</v>
      </c>
      <c r="AT719" s="50">
        <f>IF(head!F$82="S235",235,IF(head!F$82="S275",275,IF(head!F$82="S355",355,IF(head!F$82="S420",420,460))))*AS719*J719/1000</f>
        <v>1.7130210847328453</v>
      </c>
      <c r="AU719" s="201">
        <f t="shared" ref="AU719:AU736" si="114">(210000*U719/(81000*T719))^0.5</f>
        <v>210.65140366966907</v>
      </c>
      <c r="AV719" s="45">
        <f>3.1416*1.13*head!$G$66/(1.4*head!$G$67)*((1+3.1416^2*AU719^2/(1.4*head!$G$67*1000)^2*(0.45^2+1))^0.5+3.1416*0.45*database!AU719/(1.4*head!$G$67*1000))</f>
        <v>14.445982997605906</v>
      </c>
      <c r="AW719" s="45">
        <f>AV719/(head!$G$66*1000)*(210000*database!P719*81000*database!T719)^0.5</f>
        <v>4502389.6000510491</v>
      </c>
      <c r="AX719" s="46">
        <f>IF(head!$F$82="S235",database!AF719,(IF(head!$F$82="S275",database!AG719,IF(head!$F$82="S355",database!AH719,IF(head!$F$82="S420",database!AI719,database!AJ719)))))</f>
        <v>1</v>
      </c>
      <c r="AY719" s="45">
        <f t="shared" ref="AY719:AY736" si="115">IF(AX719&lt;=2,N719,M719)</f>
        <v>23216.958806408937</v>
      </c>
      <c r="AZ719" s="202">
        <f>(AY719*VLOOKUP(head!$F$82,head!$L$1:$M$5,2)/AW719)^0.5</f>
        <v>1.3529922396997847</v>
      </c>
      <c r="BA719" s="97" t="str">
        <f t="shared" ref="BA719:BA734" si="116">A720</f>
        <v>IPE 100</v>
      </c>
    </row>
    <row r="720" spans="1:53">
      <c r="A720" s="109" t="s">
        <v>185</v>
      </c>
      <c r="B720" s="83">
        <f t="shared" si="109"/>
        <v>3.1972696837021712</v>
      </c>
      <c r="C720" s="110">
        <v>100</v>
      </c>
      <c r="D720" s="110">
        <v>55</v>
      </c>
      <c r="E720" s="127">
        <v>4.0999999999999996</v>
      </c>
      <c r="F720" s="110">
        <v>5.7</v>
      </c>
      <c r="G720" s="110">
        <v>7</v>
      </c>
      <c r="H720" s="111">
        <v>8.1037273857966863</v>
      </c>
      <c r="I720" s="112">
        <v>8.2585756797928003</v>
      </c>
      <c r="J720" s="112">
        <v>1032.3219599741001</v>
      </c>
      <c r="K720" s="112">
        <v>0.39978229715025715</v>
      </c>
      <c r="L720" s="113">
        <v>1710121.2924353825</v>
      </c>
      <c r="M720" s="112">
        <v>34202.425848707651</v>
      </c>
      <c r="N720" s="112">
        <v>39406.836773700605</v>
      </c>
      <c r="O720" s="114">
        <v>40.701074457735935</v>
      </c>
      <c r="P720" s="112">
        <v>159186.82206979481</v>
      </c>
      <c r="Q720" s="112">
        <v>5788.6117116289024</v>
      </c>
      <c r="R720" s="112">
        <v>9145.5855710989399</v>
      </c>
      <c r="S720" s="112">
        <v>12.417837530354927</v>
      </c>
      <c r="T720" s="113">
        <v>11533.9659326781</v>
      </c>
      <c r="U720" s="115">
        <v>342103145.071266</v>
      </c>
      <c r="V720" s="91">
        <v>1</v>
      </c>
      <c r="W720" s="91">
        <v>1</v>
      </c>
      <c r="X720" s="91">
        <v>1</v>
      </c>
      <c r="Y720" s="91">
        <v>1</v>
      </c>
      <c r="Z720" s="91">
        <v>1</v>
      </c>
      <c r="AA720" s="92">
        <v>1</v>
      </c>
      <c r="AB720" s="91">
        <v>1</v>
      </c>
      <c r="AC720" s="91">
        <v>1</v>
      </c>
      <c r="AD720" s="91">
        <v>1</v>
      </c>
      <c r="AE720" s="91">
        <v>1</v>
      </c>
      <c r="AF720" s="90">
        <v>1</v>
      </c>
      <c r="AG720" s="91">
        <v>1</v>
      </c>
      <c r="AH720" s="91">
        <v>1</v>
      </c>
      <c r="AI720" s="91">
        <v>1</v>
      </c>
      <c r="AJ720" s="91">
        <v>1</v>
      </c>
      <c r="AK720" s="93">
        <f t="shared" si="110"/>
        <v>387.26512914661549</v>
      </c>
      <c r="AL720" s="116">
        <f t="shared" si="111"/>
        <v>333.98717698392016</v>
      </c>
      <c r="AM720" s="117">
        <f t="shared" si="112"/>
        <v>300.2939121897374</v>
      </c>
      <c r="AN720" s="118">
        <f t="shared" si="113"/>
        <v>247.01596002704204</v>
      </c>
      <c r="AO720" s="91" t="str">
        <f>IF(head!$F$82="S460","a0","b")</f>
        <v>b</v>
      </c>
      <c r="AP720" s="91">
        <f>IF(AO720="a0",0.13,IF(AO720="a",0.21,IF(AO720="b",0.34,IF(AO720="c",0.49,0.76))))</f>
        <v>0.34</v>
      </c>
      <c r="AQ720" s="96">
        <f>IF(head!F$82="S235",235,IF(head!F$82="S275",275,IF(head!F$82="S355",355,IF(head!F$82="S420",420,460))))^0.5*head!$G$70*1000/(S720*3.1416*210000^0.5)</f>
        <v>10.539200518736509</v>
      </c>
      <c r="AR720" s="96">
        <f>0.5*(1+AP720*(AQ720-0.2)+AQ720^2)</f>
        <v>57.795037875253158</v>
      </c>
      <c r="AS720" s="96">
        <f>IF(AQ720&lt;=0.2,1,1/(AR720+(AR720^2-AQ720^2)^0.5))</f>
        <v>8.7244036496553316E-3</v>
      </c>
      <c r="AT720" s="50">
        <f>IF(head!F$82="S235",235,IF(head!F$82="S275",275,IF(head!F$82="S355",355,IF(head!F$82="S420",420,460))))*AS720*J720/1000</f>
        <v>3.1972696837021712</v>
      </c>
      <c r="AU720" s="201">
        <f t="shared" si="114"/>
        <v>277.30413091425805</v>
      </c>
      <c r="AV720" s="45">
        <f>3.1416*1.13*head!$G$66/(1.4*head!$G$67)*((1+3.1416^2*AU720^2/(1.4*head!$G$67*1000)^2*(0.45^2+1))^0.5+3.1416*0.45*database!AU720/(1.4*head!$G$67*1000))</f>
        <v>15.171378078327081</v>
      </c>
      <c r="AW720" s="45">
        <f>AV720/(head!$G$66*1000)*(210000*database!P720*81000*database!T720)^0.5</f>
        <v>8478520.541084297</v>
      </c>
      <c r="AX720" s="46">
        <f>IF(head!$F$82="S235",database!AF720,(IF(head!$F$82="S275",database!AG720,IF(head!$F$82="S355",database!AH720,IF(head!$F$82="S420",database!AI720,database!AJ720)))))</f>
        <v>1</v>
      </c>
      <c r="AY720" s="45">
        <f t="shared" si="115"/>
        <v>39406.836773700605</v>
      </c>
      <c r="AZ720" s="202">
        <f>(AY720*VLOOKUP(head!$F$82,head!$L$1:$M$5,2)/AW720)^0.5</f>
        <v>1.2845172051546794</v>
      </c>
      <c r="BA720" s="97" t="str">
        <f t="shared" si="116"/>
        <v>IPE 120</v>
      </c>
    </row>
    <row r="721" spans="1:53">
      <c r="A721" s="109" t="s">
        <v>186</v>
      </c>
      <c r="B721" s="83">
        <f t="shared" si="109"/>
        <v>5.5288809669245556</v>
      </c>
      <c r="C721" s="110">
        <v>120</v>
      </c>
      <c r="D721" s="110">
        <v>64</v>
      </c>
      <c r="E721" s="127">
        <v>4.4000000000000004</v>
      </c>
      <c r="F721" s="110">
        <v>6.3</v>
      </c>
      <c r="G721" s="110">
        <v>7</v>
      </c>
      <c r="H721" s="111">
        <v>10.370022385796686</v>
      </c>
      <c r="I721" s="112">
        <v>10.568175679792802</v>
      </c>
      <c r="J721" s="112">
        <v>1321.0219599741001</v>
      </c>
      <c r="K721" s="112">
        <v>0.47518229715025712</v>
      </c>
      <c r="L721" s="113">
        <v>3177533.8876975956</v>
      </c>
      <c r="M721" s="112">
        <v>52958.898128293258</v>
      </c>
      <c r="N721" s="112">
        <v>60725.036197457142</v>
      </c>
      <c r="O721" s="114">
        <v>49.04447352228263</v>
      </c>
      <c r="P721" s="112">
        <v>276681.84676855715</v>
      </c>
      <c r="Q721" s="112">
        <v>8646.307711517411</v>
      </c>
      <c r="R721" s="112">
        <v>13580.519365095055</v>
      </c>
      <c r="S721" s="112">
        <v>14.472225280989763</v>
      </c>
      <c r="T721" s="113">
        <v>16890.2388405567</v>
      </c>
      <c r="U721" s="115">
        <v>871959883.40680695</v>
      </c>
      <c r="V721" s="91">
        <v>1</v>
      </c>
      <c r="W721" s="91">
        <v>1</v>
      </c>
      <c r="X721" s="91">
        <v>1</v>
      </c>
      <c r="Y721" s="91">
        <v>1</v>
      </c>
      <c r="Z721" s="91">
        <v>1</v>
      </c>
      <c r="AA721" s="92">
        <v>1</v>
      </c>
      <c r="AB721" s="91">
        <v>1</v>
      </c>
      <c r="AC721" s="91">
        <v>1</v>
      </c>
      <c r="AD721" s="91">
        <v>2</v>
      </c>
      <c r="AE721" s="91">
        <v>2</v>
      </c>
      <c r="AF721" s="90">
        <v>1</v>
      </c>
      <c r="AG721" s="91">
        <v>1</v>
      </c>
      <c r="AH721" s="91">
        <v>1</v>
      </c>
      <c r="AI721" s="91">
        <v>1</v>
      </c>
      <c r="AJ721" s="91">
        <v>1</v>
      </c>
      <c r="AK721" s="93">
        <f t="shared" si="110"/>
        <v>359.70809838738296</v>
      </c>
      <c r="AL721" s="116">
        <f t="shared" si="111"/>
        <v>311.26075841942759</v>
      </c>
      <c r="AM721" s="117">
        <f t="shared" si="112"/>
        <v>278.57220481574359</v>
      </c>
      <c r="AN721" s="118">
        <f t="shared" si="113"/>
        <v>230.12486484778816</v>
      </c>
      <c r="AO721" s="91" t="str">
        <f>IF(head!$F$82="S460","a0","b")</f>
        <v>b</v>
      </c>
      <c r="AP721" s="91">
        <f t="shared" ref="AP721:AP728" si="117">IF(AO721="a0",0.13,IF(AO721="a",0.21,IF(AO721="b",0.34,IF(AO721="c",0.49,0.76))))</f>
        <v>0.34</v>
      </c>
      <c r="AQ721" s="96">
        <f>IF(head!F$82="S235",235,IF(head!F$82="S275",275,IF(head!F$82="S355",355,IF(head!F$82="S420",420,460))))^0.5*head!$G$70*1000/(S721*3.1416*210000^0.5)</f>
        <v>9.0431206811998859</v>
      </c>
      <c r="AR721" s="96">
        <f t="shared" ref="AR721:AR728" si="118">0.5*(1+AP721*(AQ721-0.2)+AQ721^2)</f>
        <v>42.892346343176527</v>
      </c>
      <c r="AS721" s="96">
        <f t="shared" ref="AS721:AS728" si="119">IF(AQ721&lt;=0.2,1,1/(AR721+(AR721^2-AQ721^2)^0.5))</f>
        <v>1.1789594007348237E-2</v>
      </c>
      <c r="AT721" s="50">
        <f>IF(head!F$82="S235",235,IF(head!F$82="S275",275,IF(head!F$82="S355",355,IF(head!F$82="S420",420,460))))*AS721*J721/1000</f>
        <v>5.5288809669245556</v>
      </c>
      <c r="AU721" s="201">
        <f t="shared" si="114"/>
        <v>365.84531244627914</v>
      </c>
      <c r="AV721" s="45">
        <f>3.1416*1.13*head!$G$66/(1.4*head!$G$67)*((1+3.1416^2*AU721^2/(1.4*head!$G$67*1000)^2*(0.45^2+1))^0.5+3.1416*0.45*database!AU721/(1.4*head!$G$67*1000))</f>
        <v>16.245750831216544</v>
      </c>
      <c r="AW721" s="45">
        <f>AV721/(head!$G$66*1000)*(210000*database!P721*81000*database!T721)^0.5</f>
        <v>14484388.77239925</v>
      </c>
      <c r="AX721" s="46">
        <f>IF(head!$F$82="S235",database!AF721,(IF(head!$F$82="S275",database!AG721,IF(head!$F$82="S355",database!AH721,IF(head!$F$82="S420",database!AI721,database!AJ721)))))</f>
        <v>1</v>
      </c>
      <c r="AY721" s="45">
        <f t="shared" si="115"/>
        <v>60725.036197457142</v>
      </c>
      <c r="AZ721" s="202">
        <f>(AY721*VLOOKUP(head!$F$82,head!$L$1:$M$5,2)/AW721)^0.5</f>
        <v>1.219966713320334</v>
      </c>
      <c r="BA721" s="97" t="str">
        <f t="shared" si="116"/>
        <v>IPE 140</v>
      </c>
    </row>
    <row r="722" spans="1:53">
      <c r="A722" s="109" t="s">
        <v>187</v>
      </c>
      <c r="B722" s="83">
        <f t="shared" si="109"/>
        <v>8.9300266368813652</v>
      </c>
      <c r="C722" s="110">
        <v>140</v>
      </c>
      <c r="D722" s="110">
        <v>73</v>
      </c>
      <c r="E722" s="127">
        <v>4.7</v>
      </c>
      <c r="F722" s="110">
        <v>6.9</v>
      </c>
      <c r="G722" s="110">
        <v>7</v>
      </c>
      <c r="H722" s="111">
        <v>12.894425385796685</v>
      </c>
      <c r="I722" s="112">
        <v>13.140815679792802</v>
      </c>
      <c r="J722" s="112">
        <v>1642.6019599741001</v>
      </c>
      <c r="K722" s="112">
        <v>0.55058229715025708</v>
      </c>
      <c r="L722" s="113">
        <v>5412240.4365264364</v>
      </c>
      <c r="M722" s="112">
        <v>77317.72052180623</v>
      </c>
      <c r="N722" s="112">
        <v>88344.379621213695</v>
      </c>
      <c r="O722" s="114">
        <v>57.4013851554014</v>
      </c>
      <c r="P722" s="112">
        <v>449178.10925551853</v>
      </c>
      <c r="Q722" s="112">
        <v>12306.249568644344</v>
      </c>
      <c r="R722" s="112">
        <v>19246.60215909117</v>
      </c>
      <c r="S722" s="112">
        <v>16.536482020224877</v>
      </c>
      <c r="T722" s="113">
        <v>24013.0219027161</v>
      </c>
      <c r="U722" s="115">
        <v>1950604611.9844201</v>
      </c>
      <c r="V722" s="91">
        <v>1</v>
      </c>
      <c r="W722" s="91">
        <v>1</v>
      </c>
      <c r="X722" s="91">
        <v>1</v>
      </c>
      <c r="Y722" s="91">
        <v>1</v>
      </c>
      <c r="Z722" s="91">
        <v>2</v>
      </c>
      <c r="AA722" s="92">
        <v>1</v>
      </c>
      <c r="AB722" s="91">
        <v>1</v>
      </c>
      <c r="AC722" s="91">
        <v>2</v>
      </c>
      <c r="AD722" s="91">
        <v>2</v>
      </c>
      <c r="AE722" s="91">
        <v>3</v>
      </c>
      <c r="AF722" s="90">
        <v>1</v>
      </c>
      <c r="AG722" s="91">
        <v>1</v>
      </c>
      <c r="AH722" s="91">
        <v>1</v>
      </c>
      <c r="AI722" s="91">
        <v>1</v>
      </c>
      <c r="AJ722" s="91">
        <v>1</v>
      </c>
      <c r="AK722" s="93">
        <f t="shared" si="110"/>
        <v>335.18911493259054</v>
      </c>
      <c r="AL722" s="116">
        <f t="shared" si="111"/>
        <v>290.74742925412522</v>
      </c>
      <c r="AM722" s="117">
        <f t="shared" si="112"/>
        <v>259.34463149350984</v>
      </c>
      <c r="AN722" s="118">
        <f t="shared" si="113"/>
        <v>214.90294581504455</v>
      </c>
      <c r="AO722" s="91" t="str">
        <f>IF(head!$F$82="S460","a0","b")</f>
        <v>b</v>
      </c>
      <c r="AP722" s="91">
        <f t="shared" si="117"/>
        <v>0.34</v>
      </c>
      <c r="AQ722" s="96">
        <f>IF(head!F$82="S235",235,IF(head!F$82="S275",275,IF(head!F$82="S355",355,IF(head!F$82="S420",420,460))))^0.5*head!$G$70*1000/(S722*3.1416*210000^0.5)</f>
        <v>7.9142637219595642</v>
      </c>
      <c r="AR722" s="96">
        <f t="shared" si="118"/>
        <v>33.129209963095754</v>
      </c>
      <c r="AS722" s="96">
        <f t="shared" si="119"/>
        <v>1.5314120659718473E-2</v>
      </c>
      <c r="AT722" s="50">
        <f>IF(head!F$82="S235",235,IF(head!F$82="S275",275,IF(head!F$82="S355",355,IF(head!F$82="S420",420,460))))*AS722*J722/1000</f>
        <v>8.9300266368813652</v>
      </c>
      <c r="AU722" s="201">
        <f t="shared" si="114"/>
        <v>458.91087850683829</v>
      </c>
      <c r="AV722" s="45">
        <f>3.1416*1.13*head!$G$66/(1.4*head!$G$67)*((1+3.1416^2*AU722^2/(1.4*head!$G$67*1000)^2*(0.45^2+1))^0.5+3.1416*0.45*database!AU722/(1.4*head!$G$67*1000))</f>
        <v>17.497700587063679</v>
      </c>
      <c r="AW722" s="45">
        <f>AV722/(head!$G$66*1000)*(210000*database!P722*81000*database!T722)^0.5</f>
        <v>23700954.550055232</v>
      </c>
      <c r="AX722" s="46">
        <f>IF(head!$F$82="S235",database!AF722,(IF(head!$F$82="S275",database!AG722,IF(head!$F$82="S355",database!AH722,IF(head!$F$82="S420",database!AI722,database!AJ722)))))</f>
        <v>1</v>
      </c>
      <c r="AY722" s="45">
        <f t="shared" si="115"/>
        <v>88344.379621213695</v>
      </c>
      <c r="AZ722" s="202">
        <f>(AY722*VLOOKUP(head!$F$82,head!$L$1:$M$5,2)/AW722)^0.5</f>
        <v>1.1503254292530478</v>
      </c>
      <c r="BA722" s="97" t="str">
        <f t="shared" si="116"/>
        <v>IPE 160</v>
      </c>
    </row>
    <row r="723" spans="1:53">
      <c r="A723" s="109" t="s">
        <v>188</v>
      </c>
      <c r="B723" s="83">
        <f t="shared" si="109"/>
        <v>13.517590452447745</v>
      </c>
      <c r="C723" s="110">
        <v>160</v>
      </c>
      <c r="D723" s="110">
        <v>82</v>
      </c>
      <c r="E723" s="127">
        <v>5</v>
      </c>
      <c r="F723" s="110">
        <v>7.4</v>
      </c>
      <c r="G723" s="110">
        <v>9</v>
      </c>
      <c r="H723" s="111">
        <v>15.771678311214931</v>
      </c>
      <c r="I723" s="112">
        <v>16.073047960473815</v>
      </c>
      <c r="J723" s="112">
        <v>2009.130995059227</v>
      </c>
      <c r="K723" s="112">
        <v>0.62254866776461626</v>
      </c>
      <c r="L723" s="113">
        <v>8692929.2617580555</v>
      </c>
      <c r="M723" s="112">
        <v>108661.61577197569</v>
      </c>
      <c r="N723" s="112">
        <v>123859.65128576681</v>
      </c>
      <c r="O723" s="114">
        <v>65.777739717202493</v>
      </c>
      <c r="P723" s="112">
        <v>683145.51007986546</v>
      </c>
      <c r="Q723" s="112">
        <v>16662.085611704035</v>
      </c>
      <c r="R723" s="112">
        <v>26099.906443181113</v>
      </c>
      <c r="S723" s="112">
        <v>18.439641883092321</v>
      </c>
      <c r="T723" s="113">
        <v>35310.3056457809</v>
      </c>
      <c r="U723" s="115">
        <v>3888651062.4926701</v>
      </c>
      <c r="V723" s="91">
        <v>1</v>
      </c>
      <c r="W723" s="91">
        <v>1</v>
      </c>
      <c r="X723" s="91">
        <v>1</v>
      </c>
      <c r="Y723" s="91">
        <v>2</v>
      </c>
      <c r="Z723" s="91">
        <v>2</v>
      </c>
      <c r="AA723" s="92">
        <v>1</v>
      </c>
      <c r="AB723" s="91">
        <v>1</v>
      </c>
      <c r="AC723" s="91">
        <v>2</v>
      </c>
      <c r="AD723" s="91">
        <v>3</v>
      </c>
      <c r="AE723" s="91">
        <v>3</v>
      </c>
      <c r="AF723" s="90">
        <v>1</v>
      </c>
      <c r="AG723" s="91">
        <v>1</v>
      </c>
      <c r="AH723" s="91">
        <v>1</v>
      </c>
      <c r="AI723" s="91">
        <v>1</v>
      </c>
      <c r="AJ723" s="91">
        <v>1</v>
      </c>
      <c r="AK723" s="93">
        <f t="shared" si="110"/>
        <v>309.85967032292194</v>
      </c>
      <c r="AL723" s="116">
        <f t="shared" si="111"/>
        <v>269.04600501107774</v>
      </c>
      <c r="AM723" s="117">
        <f t="shared" si="112"/>
        <v>240.90017086503224</v>
      </c>
      <c r="AN723" s="118">
        <f t="shared" si="113"/>
        <v>200.08650555318795</v>
      </c>
      <c r="AO723" s="91" t="str">
        <f>IF(head!$F$82="S460","a0","b")</f>
        <v>b</v>
      </c>
      <c r="AP723" s="91">
        <f t="shared" si="117"/>
        <v>0.34</v>
      </c>
      <c r="AQ723" s="96">
        <f>IF(head!F$82="S235",235,IF(head!F$82="S275",275,IF(head!F$82="S355",355,IF(head!F$82="S420",420,460))))^0.5*head!$G$70*1000/(S723*3.1416*210000^0.5)</f>
        <v>7.0974306643939453</v>
      </c>
      <c r="AR723" s="96">
        <f t="shared" si="118"/>
        <v>26.859324230886713</v>
      </c>
      <c r="AS723" s="96">
        <f t="shared" si="119"/>
        <v>1.8952332962857584E-2</v>
      </c>
      <c r="AT723" s="50">
        <f>IF(head!F$82="S235",235,IF(head!F$82="S275",275,IF(head!F$82="S355",355,IF(head!F$82="S420",420,460))))*AS723*J723/1000</f>
        <v>13.517590452447745</v>
      </c>
      <c r="AU723" s="201">
        <f t="shared" si="114"/>
        <v>534.33778623986075</v>
      </c>
      <c r="AV723" s="45">
        <f>3.1416*1.13*head!$G$66/(1.4*head!$G$67)*((1+3.1416^2*AU723^2/(1.4*head!$G$67*1000)^2*(0.45^2+1))^0.5+3.1416*0.45*database!AU723/(1.4*head!$G$67*1000))</f>
        <v>18.593675825838734</v>
      </c>
      <c r="AW723" s="45">
        <f>AV723/(head!$G$66*1000)*(210000*database!P723*81000*database!T723)^0.5</f>
        <v>37663854.141106643</v>
      </c>
      <c r="AX723" s="46">
        <f>IF(head!$F$82="S235",database!AF723,(IF(head!$F$82="S275",database!AG723,IF(head!$F$82="S355",database!AH723,IF(head!$F$82="S420",database!AI723,database!AJ723)))))</f>
        <v>1</v>
      </c>
      <c r="AY723" s="45">
        <f t="shared" si="115"/>
        <v>123859.65128576681</v>
      </c>
      <c r="AZ723" s="202">
        <f>(AY723*VLOOKUP(head!$F$82,head!$L$1:$M$5,2)/AW723)^0.5</f>
        <v>1.0804799775714065</v>
      </c>
      <c r="BA723" s="97" t="str">
        <f t="shared" si="116"/>
        <v>IPE 180</v>
      </c>
    </row>
    <row r="724" spans="1:53">
      <c r="A724" s="109" t="s">
        <v>189</v>
      </c>
      <c r="B724" s="83">
        <f t="shared" si="109"/>
        <v>19.852785269028903</v>
      </c>
      <c r="C724" s="110">
        <v>180</v>
      </c>
      <c r="D724" s="110">
        <v>91</v>
      </c>
      <c r="E724" s="127">
        <v>5.3</v>
      </c>
      <c r="F724" s="110">
        <v>8</v>
      </c>
      <c r="G724" s="110">
        <v>9</v>
      </c>
      <c r="H724" s="111">
        <v>18.798638311214926</v>
      </c>
      <c r="I724" s="112">
        <v>19.157847960473813</v>
      </c>
      <c r="J724" s="112">
        <v>2394.7309950592266</v>
      </c>
      <c r="K724" s="112">
        <v>0.69794866776461628</v>
      </c>
      <c r="L724" s="113">
        <v>13169589.941987235</v>
      </c>
      <c r="M724" s="112">
        <v>146328.7771331915</v>
      </c>
      <c r="N724" s="112">
        <v>166414.96263932355</v>
      </c>
      <c r="O724" s="114">
        <v>74.157957320947602</v>
      </c>
      <c r="P724" s="112">
        <v>1008504.1087935419</v>
      </c>
      <c r="Q724" s="112">
        <v>22164.925467989931</v>
      </c>
      <c r="R724" s="112">
        <v>34599.726092439989</v>
      </c>
      <c r="S724" s="112">
        <v>20.521564563746711</v>
      </c>
      <c r="T724" s="113">
        <v>47237.725762641108</v>
      </c>
      <c r="U724" s="115">
        <v>7321753075.0675602</v>
      </c>
      <c r="V724" s="91">
        <v>1</v>
      </c>
      <c r="W724" s="91">
        <v>1</v>
      </c>
      <c r="X724" s="91">
        <v>2</v>
      </c>
      <c r="Y724" s="91">
        <v>2</v>
      </c>
      <c r="Z724" s="91">
        <v>3</v>
      </c>
      <c r="AA724" s="92">
        <v>1</v>
      </c>
      <c r="AB724" s="91">
        <v>2</v>
      </c>
      <c r="AC724" s="91">
        <v>3</v>
      </c>
      <c r="AD724" s="91">
        <v>4</v>
      </c>
      <c r="AE724" s="91">
        <v>4</v>
      </c>
      <c r="AF724" s="90">
        <v>1</v>
      </c>
      <c r="AG724" s="91">
        <v>1</v>
      </c>
      <c r="AH724" s="91">
        <v>1</v>
      </c>
      <c r="AI724" s="91">
        <v>1</v>
      </c>
      <c r="AJ724" s="91">
        <v>1</v>
      </c>
      <c r="AK724" s="93">
        <f t="shared" si="110"/>
        <v>291.45180364918377</v>
      </c>
      <c r="AL724" s="116">
        <f t="shared" si="111"/>
        <v>253.45171086725969</v>
      </c>
      <c r="AM724" s="117">
        <f t="shared" si="112"/>
        <v>226.33022294288853</v>
      </c>
      <c r="AN724" s="118">
        <f t="shared" si="113"/>
        <v>188.33013016096442</v>
      </c>
      <c r="AO724" s="91" t="str">
        <f>IF(head!$F$82="S460","a0","b")</f>
        <v>b</v>
      </c>
      <c r="AP724" s="91">
        <f t="shared" si="117"/>
        <v>0.34</v>
      </c>
      <c r="AQ724" s="96">
        <f>IF(head!F$82="S235",235,IF(head!F$82="S275",275,IF(head!F$82="S355",355,IF(head!F$82="S420",420,460))))^0.5*head!$G$70*1000/(S724*3.1416*210000^0.5)</f>
        <v>6.3773928803023052</v>
      </c>
      <c r="AR724" s="96">
        <f t="shared" si="118"/>
        <v>21.885726764516658</v>
      </c>
      <c r="AS724" s="96">
        <f t="shared" si="119"/>
        <v>2.3352660027943478E-2</v>
      </c>
      <c r="AT724" s="50">
        <f>IF(head!F$82="S235",235,IF(head!F$82="S275",275,IF(head!F$82="S355",355,IF(head!F$82="S420",420,460))))*AS724*J724/1000</f>
        <v>19.852785269028903</v>
      </c>
      <c r="AU724" s="201">
        <f t="shared" si="114"/>
        <v>633.91377159046613</v>
      </c>
      <c r="AV724" s="45">
        <f>3.1416*1.13*head!$G$66/(1.4*head!$G$67)*((1+3.1416^2*AU724^2/(1.4*head!$G$67*1000)^2*(0.45^2+1))^0.5+3.1416*0.45*database!AU724/(1.4*head!$G$67*1000))</f>
        <v>20.136889428495447</v>
      </c>
      <c r="AW724" s="45">
        <f>AV724/(head!$G$66*1000)*(210000*database!P724*81000*database!T724)^0.5</f>
        <v>57322862.370849878</v>
      </c>
      <c r="AX724" s="46">
        <f>IF(head!$F$82="S235",database!AF724,(IF(head!$F$82="S275",database!AG724,IF(head!$F$82="S355",database!AH724,IF(head!$F$82="S420",database!AI724,database!AJ724)))))</f>
        <v>1</v>
      </c>
      <c r="AY724" s="45">
        <f t="shared" si="115"/>
        <v>166414.96263932355</v>
      </c>
      <c r="AZ724" s="202">
        <f>(AY724*VLOOKUP(head!$F$82,head!$L$1:$M$5,2)/AW724)^0.5</f>
        <v>1.0151878894011521</v>
      </c>
      <c r="BA724" s="97" t="str">
        <f t="shared" si="116"/>
        <v>IPE 200</v>
      </c>
    </row>
    <row r="725" spans="1:53">
      <c r="A725" s="109" t="s">
        <v>147</v>
      </c>
      <c r="B725" s="83">
        <f t="shared" si="109"/>
        <v>27.898249670110758</v>
      </c>
      <c r="C725" s="110">
        <v>200</v>
      </c>
      <c r="D725" s="110">
        <v>100</v>
      </c>
      <c r="E725" s="127">
        <v>5.6</v>
      </c>
      <c r="F725" s="110">
        <v>8.5</v>
      </c>
      <c r="G725" s="110">
        <v>12</v>
      </c>
      <c r="H725" s="111">
        <v>22.360023664382101</v>
      </c>
      <c r="I725" s="112">
        <v>22.787285263064561</v>
      </c>
      <c r="J725" s="112">
        <v>2848.4106578830701</v>
      </c>
      <c r="K725" s="112">
        <v>0.76819822368615498</v>
      </c>
      <c r="L725" s="113">
        <v>19431682.51083592</v>
      </c>
      <c r="M725" s="112">
        <v>194316.82510835919</v>
      </c>
      <c r="N725" s="112">
        <v>220638.64730170404</v>
      </c>
      <c r="O725" s="114">
        <v>82.595027472588967</v>
      </c>
      <c r="P725" s="112">
        <v>1423683.2728531647</v>
      </c>
      <c r="Q725" s="112">
        <v>28473.665457063293</v>
      </c>
      <c r="R725" s="112">
        <v>44612.157736669433</v>
      </c>
      <c r="S725" s="112">
        <v>22.356581138819376</v>
      </c>
      <c r="T725" s="113">
        <v>68483.357396329302</v>
      </c>
      <c r="U725" s="115">
        <v>12745785999.1719</v>
      </c>
      <c r="V725" s="91">
        <v>1</v>
      </c>
      <c r="W725" s="91">
        <v>1</v>
      </c>
      <c r="X725" s="91">
        <v>2</v>
      </c>
      <c r="Y725" s="91">
        <v>2</v>
      </c>
      <c r="Z725" s="91">
        <v>3</v>
      </c>
      <c r="AA725" s="92">
        <v>2</v>
      </c>
      <c r="AB725" s="91">
        <v>2</v>
      </c>
      <c r="AC725" s="91">
        <v>3</v>
      </c>
      <c r="AD725" s="91">
        <v>4</v>
      </c>
      <c r="AE725" s="91">
        <v>4</v>
      </c>
      <c r="AF725" s="90">
        <v>1</v>
      </c>
      <c r="AG725" s="91">
        <v>1</v>
      </c>
      <c r="AH725" s="91">
        <v>1</v>
      </c>
      <c r="AI725" s="91">
        <v>1</v>
      </c>
      <c r="AJ725" s="91">
        <v>1</v>
      </c>
      <c r="AK725" s="93">
        <f t="shared" si="110"/>
        <v>269.69363478546927</v>
      </c>
      <c r="AL725" s="116">
        <f t="shared" si="111"/>
        <v>234.5863374148297</v>
      </c>
      <c r="AM725" s="117">
        <f t="shared" si="112"/>
        <v>210.64378422383734</v>
      </c>
      <c r="AN725" s="118">
        <f t="shared" si="113"/>
        <v>175.53648685319777</v>
      </c>
      <c r="AO725" s="91" t="str">
        <f>IF(head!$F$82="S460","a0","b")</f>
        <v>b</v>
      </c>
      <c r="AP725" s="91">
        <f t="shared" si="117"/>
        <v>0.34</v>
      </c>
      <c r="AQ725" s="96">
        <f>IF(head!F$82="S235",235,IF(head!F$82="S275",275,IF(head!F$82="S355",355,IF(head!F$82="S420",420,460))))^0.5*head!$G$70*1000/(S725*3.1416*210000^0.5)</f>
        <v>5.8539397830492099</v>
      </c>
      <c r="AR725" s="96">
        <f t="shared" si="118"/>
        <v>18.595475254901483</v>
      </c>
      <c r="AS725" s="96">
        <f t="shared" si="119"/>
        <v>2.7589637951800715E-2</v>
      </c>
      <c r="AT725" s="50">
        <f>IF(head!F$82="S235",235,IF(head!F$82="S275",275,IF(head!F$82="S355",355,IF(head!F$82="S420",420,460))))*AS725*J725/1000</f>
        <v>27.898249670110758</v>
      </c>
      <c r="AU725" s="201">
        <f t="shared" si="114"/>
        <v>694.63702402215461</v>
      </c>
      <c r="AV725" s="45">
        <f>3.1416*1.13*head!$G$66/(1.4*head!$G$67)*((1+3.1416^2*AU725^2/(1.4*head!$G$67*1000)^2*(0.45^2+1))^0.5+3.1416*0.45*database!AU725/(1.4*head!$G$67*1000))</f>
        <v>21.124899172931769</v>
      </c>
      <c r="AW725" s="45">
        <f>AV725/(head!$G$66*1000)*(210000*database!P725*81000*database!T725)^0.5</f>
        <v>86029225.793348134</v>
      </c>
      <c r="AX725" s="46">
        <f>IF(head!$F$82="S235",database!AF725,(IF(head!$F$82="S275",database!AG725,IF(head!$F$82="S355",database!AH725,IF(head!$F$82="S420",database!AI725,database!AJ725)))))</f>
        <v>1</v>
      </c>
      <c r="AY725" s="45">
        <f t="shared" si="115"/>
        <v>220638.64730170404</v>
      </c>
      <c r="AZ725" s="202">
        <f>(AY725*VLOOKUP(head!$F$82,head!$L$1:$M$5,2)/AW725)^0.5</f>
        <v>0.95418363188759825</v>
      </c>
      <c r="BA725" s="97" t="str">
        <f t="shared" si="116"/>
        <v>IPE 220</v>
      </c>
    </row>
    <row r="726" spans="1:53">
      <c r="A726" s="109" t="s">
        <v>148</v>
      </c>
      <c r="B726" s="83">
        <f t="shared" si="109"/>
        <v>39.907420005263567</v>
      </c>
      <c r="C726" s="110">
        <v>220</v>
      </c>
      <c r="D726" s="110">
        <v>110</v>
      </c>
      <c r="E726" s="127">
        <v>5.9</v>
      </c>
      <c r="F726" s="110">
        <v>9.1999999999999993</v>
      </c>
      <c r="G726" s="110">
        <v>12</v>
      </c>
      <c r="H726" s="111">
        <v>26.195847664382097</v>
      </c>
      <c r="I726" s="112">
        <v>26.696405263064555</v>
      </c>
      <c r="J726" s="112">
        <v>3337.0506578830696</v>
      </c>
      <c r="K726" s="112">
        <v>0.84759822368615501</v>
      </c>
      <c r="L726" s="113">
        <v>27718387.94364794</v>
      </c>
      <c r="M726" s="112">
        <v>251985.34494225399</v>
      </c>
      <c r="N726" s="112">
        <v>285406.00242001651</v>
      </c>
      <c r="O726" s="114">
        <v>91.138648614810094</v>
      </c>
      <c r="P726" s="112">
        <v>2048861.5086139673</v>
      </c>
      <c r="Q726" s="112">
        <v>37252.027429344867</v>
      </c>
      <c r="R726" s="112">
        <v>58110.40333535189</v>
      </c>
      <c r="S726" s="112">
        <v>24.778493712800756</v>
      </c>
      <c r="T726" s="113">
        <v>89836.901121749703</v>
      </c>
      <c r="U726" s="115">
        <v>22309856872.265202</v>
      </c>
      <c r="V726" s="91">
        <v>1</v>
      </c>
      <c r="W726" s="91">
        <v>1</v>
      </c>
      <c r="X726" s="91">
        <v>2</v>
      </c>
      <c r="Y726" s="91">
        <v>3</v>
      </c>
      <c r="Z726" s="91">
        <v>4</v>
      </c>
      <c r="AA726" s="92">
        <v>2</v>
      </c>
      <c r="AB726" s="91">
        <v>3</v>
      </c>
      <c r="AC726" s="91">
        <v>4</v>
      </c>
      <c r="AD726" s="91">
        <v>4</v>
      </c>
      <c r="AE726" s="91">
        <v>4</v>
      </c>
      <c r="AF726" s="90">
        <v>1</v>
      </c>
      <c r="AG726" s="91">
        <v>1</v>
      </c>
      <c r="AH726" s="91">
        <v>1</v>
      </c>
      <c r="AI726" s="91">
        <v>1</v>
      </c>
      <c r="AJ726" s="91">
        <v>1</v>
      </c>
      <c r="AK726" s="93">
        <f t="shared" si="110"/>
        <v>253.99621120041593</v>
      </c>
      <c r="AL726" s="116">
        <f t="shared" si="111"/>
        <v>221.03297171822572</v>
      </c>
      <c r="AM726" s="117">
        <f t="shared" si="112"/>
        <v>197.77943689314122</v>
      </c>
      <c r="AN726" s="118">
        <f t="shared" si="113"/>
        <v>164.81619741095102</v>
      </c>
      <c r="AO726" s="91" t="str">
        <f>IF(head!$F$82="S460","a0","b")</f>
        <v>b</v>
      </c>
      <c r="AP726" s="91">
        <f t="shared" si="117"/>
        <v>0.34</v>
      </c>
      <c r="AQ726" s="96">
        <f>IF(head!F$82="S235",235,IF(head!F$82="S275",275,IF(head!F$82="S355",355,IF(head!F$82="S420",420,460))))^0.5*head!$G$70*1000/(S726*3.1416*210000^0.5)</f>
        <v>5.281760919708038</v>
      </c>
      <c r="AR726" s="96">
        <f t="shared" si="118"/>
        <v>15.312398562827916</v>
      </c>
      <c r="AS726" s="96">
        <f t="shared" si="119"/>
        <v>3.3687012618434091E-2</v>
      </c>
      <c r="AT726" s="50">
        <f>IF(head!F$82="S235",235,IF(head!F$82="S275",275,IF(head!F$82="S355",355,IF(head!F$82="S420",420,460))))*AS726*J726/1000</f>
        <v>39.907420005263567</v>
      </c>
      <c r="AU726" s="201">
        <f t="shared" si="114"/>
        <v>802.39487957985909</v>
      </c>
      <c r="AV726" s="45">
        <f>3.1416*1.13*head!$G$66/(1.4*head!$G$67)*((1+3.1416^2*AU726^2/(1.4*head!$G$67*1000)^2*(0.45^2+1))^0.5+3.1416*0.45*database!AU726/(1.4*head!$G$67*1000))</f>
        <v>22.952707396601522</v>
      </c>
      <c r="AW726" s="45">
        <f>AV726/(head!$G$66*1000)*(210000*database!P726*81000*database!T726)^0.5</f>
        <v>128430969.28607981</v>
      </c>
      <c r="AX726" s="46">
        <f>IF(head!$F$82="S235",database!AF726,(IF(head!$F$82="S275",database!AG726,IF(head!$F$82="S355",database!AH726,IF(head!$F$82="S420",database!AI726,database!AJ726)))))</f>
        <v>1</v>
      </c>
      <c r="AY726" s="45">
        <f t="shared" si="115"/>
        <v>285406.00242001651</v>
      </c>
      <c r="AZ726" s="202">
        <f>(AY726*VLOOKUP(head!$F$82,head!$L$1:$M$5,2)/AW726)^0.5</f>
        <v>0.88820016128728341</v>
      </c>
      <c r="BA726" s="97" t="str">
        <f t="shared" si="116"/>
        <v>IPE 240</v>
      </c>
    </row>
    <row r="727" spans="1:53">
      <c r="A727" s="109" t="s">
        <v>149</v>
      </c>
      <c r="B727" s="83">
        <f t="shared" si="109"/>
        <v>54.949067958182432</v>
      </c>
      <c r="C727" s="110">
        <v>240</v>
      </c>
      <c r="D727" s="110">
        <v>120</v>
      </c>
      <c r="E727" s="127">
        <v>6.2</v>
      </c>
      <c r="F727" s="110">
        <v>9.8000000000000007</v>
      </c>
      <c r="G727" s="110">
        <v>15</v>
      </c>
      <c r="H727" s="111">
        <v>30.706229975597029</v>
      </c>
      <c r="I727" s="112">
        <v>31.292973223538368</v>
      </c>
      <c r="J727" s="112">
        <v>3911.6216529422964</v>
      </c>
      <c r="K727" s="112">
        <v>0.92184777960769382</v>
      </c>
      <c r="L727" s="113">
        <v>38916262.363993488</v>
      </c>
      <c r="M727" s="112">
        <v>324302.18636661238</v>
      </c>
      <c r="N727" s="112">
        <v>366645.33336010663</v>
      </c>
      <c r="O727" s="114">
        <v>99.744082672502486</v>
      </c>
      <c r="P727" s="112">
        <v>2836341.6458317628</v>
      </c>
      <c r="Q727" s="112">
        <v>47272.360763862722</v>
      </c>
      <c r="R727" s="112">
        <v>73923.907918255558</v>
      </c>
      <c r="S727" s="112">
        <v>26.927798579148277</v>
      </c>
      <c r="T727" s="113">
        <v>127414.51787382401</v>
      </c>
      <c r="U727" s="115">
        <v>36679138597.048103</v>
      </c>
      <c r="V727" s="91">
        <v>1</v>
      </c>
      <c r="W727" s="91">
        <v>2</v>
      </c>
      <c r="X727" s="91">
        <v>2</v>
      </c>
      <c r="Y727" s="91">
        <v>3</v>
      </c>
      <c r="Z727" s="91">
        <v>4</v>
      </c>
      <c r="AA727" s="92">
        <v>2</v>
      </c>
      <c r="AB727" s="91">
        <v>3</v>
      </c>
      <c r="AC727" s="91">
        <v>4</v>
      </c>
      <c r="AD727" s="91">
        <v>4</v>
      </c>
      <c r="AE727" s="91">
        <v>4</v>
      </c>
      <c r="AF727" s="90">
        <v>1</v>
      </c>
      <c r="AG727" s="91">
        <v>1</v>
      </c>
      <c r="AH727" s="91">
        <v>1</v>
      </c>
      <c r="AI727" s="91">
        <v>1</v>
      </c>
      <c r="AJ727" s="91">
        <v>1</v>
      </c>
      <c r="AK727" s="93">
        <f t="shared" si="110"/>
        <v>235.66895303237877</v>
      </c>
      <c r="AL727" s="116">
        <f t="shared" si="111"/>
        <v>204.99113941772694</v>
      </c>
      <c r="AM727" s="117">
        <f t="shared" si="112"/>
        <v>184.06688168791086</v>
      </c>
      <c r="AN727" s="118">
        <f t="shared" si="113"/>
        <v>153.38906807325907</v>
      </c>
      <c r="AO727" s="91" t="str">
        <f>IF(head!$F$82="S460","a0","b")</f>
        <v>b</v>
      </c>
      <c r="AP727" s="91">
        <f t="shared" si="117"/>
        <v>0.34</v>
      </c>
      <c r="AQ727" s="96">
        <f>IF(head!F$82="S235",235,IF(head!F$82="S275",275,IF(head!F$82="S355",355,IF(head!F$82="S420",420,460))))^0.5*head!$G$70*1000/(S727*3.1416*210000^0.5)</f>
        <v>4.8601848887433956</v>
      </c>
      <c r="AR727" s="96">
        <f t="shared" si="118"/>
        <v>13.102930007471205</v>
      </c>
      <c r="AS727" s="96">
        <f t="shared" si="119"/>
        <v>3.957082781971729E-2</v>
      </c>
      <c r="AT727" s="50">
        <f>IF(head!F$82="S235",235,IF(head!F$82="S275",275,IF(head!F$82="S355",355,IF(head!F$82="S420",420,460))))*AS727*J727/1000</f>
        <v>54.949067958182432</v>
      </c>
      <c r="AU727" s="201">
        <f t="shared" si="114"/>
        <v>863.90749973196444</v>
      </c>
      <c r="AV727" s="45">
        <f>3.1416*1.13*head!$G$66/(1.4*head!$G$67)*((1+3.1416^2*AU727^2/(1.4*head!$G$67*1000)^2*(0.45^2+1))^0.5+3.1416*0.45*database!AU727/(1.4*head!$G$67*1000))</f>
        <v>24.033219963585783</v>
      </c>
      <c r="AW727" s="45">
        <f>AV727/(head!$G$66*1000)*(210000*database!P727*81000*database!T727)^0.5</f>
        <v>188431214.21033999</v>
      </c>
      <c r="AX727" s="46">
        <f>IF(head!$F$82="S235",database!AF727,(IF(head!$F$82="S275",database!AG727,IF(head!$F$82="S355",database!AH727,IF(head!$F$82="S420",database!AI727,database!AJ727)))))</f>
        <v>1</v>
      </c>
      <c r="AY727" s="45">
        <f t="shared" si="115"/>
        <v>366645.33336010663</v>
      </c>
      <c r="AZ727" s="202">
        <f>(AY727*VLOOKUP(head!$F$82,head!$L$1:$M$5,2)/AW727)^0.5</f>
        <v>0.83111445174100052</v>
      </c>
      <c r="BA727" s="97" t="str">
        <f t="shared" si="116"/>
        <v>IPE 270</v>
      </c>
    </row>
    <row r="728" spans="1:53">
      <c r="A728" s="109" t="s">
        <v>203</v>
      </c>
      <c r="B728" s="83">
        <f t="shared" si="109"/>
        <v>80.666276403891132</v>
      </c>
      <c r="C728" s="110">
        <v>270</v>
      </c>
      <c r="D728" s="110">
        <v>135</v>
      </c>
      <c r="E728" s="127">
        <v>6.6</v>
      </c>
      <c r="F728" s="110">
        <v>10.199999999999999</v>
      </c>
      <c r="G728" s="110">
        <v>15</v>
      </c>
      <c r="H728" s="111">
        <v>36.066837975597025</v>
      </c>
      <c r="I728" s="112">
        <v>36.756013223538368</v>
      </c>
      <c r="J728" s="112">
        <v>4594.5016529422965</v>
      </c>
      <c r="K728" s="112">
        <v>1.0410477796076936</v>
      </c>
      <c r="L728" s="113">
        <v>57897829.396316454</v>
      </c>
      <c r="M728" s="112">
        <v>428872.81034308486</v>
      </c>
      <c r="N728" s="112">
        <v>483996.81749306415</v>
      </c>
      <c r="O728" s="114">
        <v>112.25661312584485</v>
      </c>
      <c r="P728" s="112">
        <v>4198687.8429318499</v>
      </c>
      <c r="Q728" s="112">
        <v>62202.782858249629</v>
      </c>
      <c r="R728" s="112">
        <v>96950.136248844021</v>
      </c>
      <c r="S728" s="112">
        <v>30.229961060795532</v>
      </c>
      <c r="T728" s="113">
        <v>157144.760961914</v>
      </c>
      <c r="U728" s="115">
        <v>69467614268.849304</v>
      </c>
      <c r="V728" s="91">
        <v>2</v>
      </c>
      <c r="W728" s="91">
        <v>2</v>
      </c>
      <c r="X728" s="91">
        <v>3</v>
      </c>
      <c r="Y728" s="91">
        <v>4</v>
      </c>
      <c r="Z728" s="91">
        <v>4</v>
      </c>
      <c r="AA728" s="92">
        <v>3</v>
      </c>
      <c r="AB728" s="91">
        <v>4</v>
      </c>
      <c r="AC728" s="91">
        <v>4</v>
      </c>
      <c r="AD728" s="91">
        <v>4</v>
      </c>
      <c r="AE728" s="91">
        <v>4</v>
      </c>
      <c r="AF728" s="90">
        <v>1</v>
      </c>
      <c r="AG728" s="91">
        <v>1</v>
      </c>
      <c r="AH728" s="91">
        <v>1</v>
      </c>
      <c r="AI728" s="91">
        <v>1</v>
      </c>
      <c r="AJ728" s="91">
        <v>1</v>
      </c>
      <c r="AK728" s="93">
        <f t="shared" si="110"/>
        <v>226.58557080744799</v>
      </c>
      <c r="AL728" s="116">
        <f t="shared" si="111"/>
        <v>197.20262349398985</v>
      </c>
      <c r="AM728" s="117">
        <f t="shared" si="112"/>
        <v>176.29768388074908</v>
      </c>
      <c r="AN728" s="118">
        <f t="shared" si="113"/>
        <v>146.91473656729087</v>
      </c>
      <c r="AO728" s="91" t="str">
        <f>IF(head!$F$82="S460","a0","b")</f>
        <v>b</v>
      </c>
      <c r="AP728" s="91">
        <f t="shared" si="117"/>
        <v>0.34</v>
      </c>
      <c r="AQ728" s="96">
        <f>IF(head!F$82="S235",235,IF(head!F$82="S275",275,IF(head!F$82="S355",355,IF(head!F$82="S420",420,460))))^0.5*head!$G$70*1000/(S728*3.1416*210000^0.5)</f>
        <v>4.3292837684541254</v>
      </c>
      <c r="AR728" s="96">
        <f t="shared" si="118"/>
        <v>10.573327214537379</v>
      </c>
      <c r="AS728" s="96">
        <f t="shared" si="119"/>
        <v>4.9456712562303336E-2</v>
      </c>
      <c r="AT728" s="50">
        <f>IF(head!F$82="S235",235,IF(head!F$82="S275",275,IF(head!F$82="S355",355,IF(head!F$82="S420",420,460))))*AS728*J728/1000</f>
        <v>80.666276403891132</v>
      </c>
      <c r="AU728" s="201">
        <f t="shared" si="114"/>
        <v>1070.5535024135395</v>
      </c>
      <c r="AV728" s="45">
        <f>3.1416*1.13*head!$G$66/(1.4*head!$G$67)*((1+3.1416^2*AU728^2/(1.4*head!$G$67*1000)^2*(0.45^2+1))^0.5+3.1416*0.45*database!AU728/(1.4*head!$G$67*1000))</f>
        <v>27.820545462206191</v>
      </c>
      <c r="AW728" s="45">
        <f>AV728/(head!$G$66*1000)*(210000*database!P728*81000*database!T728)^0.5</f>
        <v>294730136.12013495</v>
      </c>
      <c r="AX728" s="46">
        <f>IF(head!$F$82="S235",database!AF728,(IF(head!$F$82="S275",database!AG728,IF(head!$F$82="S355",database!AH728,IF(head!$F$82="S420",database!AI728,database!AJ728)))))</f>
        <v>1</v>
      </c>
      <c r="AY728" s="45">
        <f t="shared" si="115"/>
        <v>483996.81749306415</v>
      </c>
      <c r="AZ728" s="202">
        <f>(AY728*VLOOKUP(head!$F$82,head!$L$1:$M$5,2)/AW728)^0.5</f>
        <v>0.76352481627552959</v>
      </c>
      <c r="BA728" s="97" t="str">
        <f t="shared" si="116"/>
        <v>IPE 300</v>
      </c>
    </row>
    <row r="729" spans="1:53">
      <c r="A729" s="109" t="s">
        <v>204</v>
      </c>
      <c r="B729" s="83">
        <f t="shared" si="109"/>
        <v>115.03416099204838</v>
      </c>
      <c r="C729" s="110">
        <v>300</v>
      </c>
      <c r="D729" s="110">
        <v>150</v>
      </c>
      <c r="E729" s="127">
        <v>7.1</v>
      </c>
      <c r="F729" s="110">
        <v>10.7</v>
      </c>
      <c r="G729" s="110">
        <v>15</v>
      </c>
      <c r="H729" s="111">
        <v>42.242432975597033</v>
      </c>
      <c r="I729" s="112">
        <v>43.04961322353838</v>
      </c>
      <c r="J729" s="112">
        <v>5381.2016529422972</v>
      </c>
      <c r="K729" s="112">
        <v>1.1600477796076936</v>
      </c>
      <c r="L729" s="113">
        <v>83561091.858479723</v>
      </c>
      <c r="M729" s="112">
        <v>557073.94572319812</v>
      </c>
      <c r="N729" s="112">
        <v>628355.88646072743</v>
      </c>
      <c r="O729" s="114">
        <v>124.6127325800165</v>
      </c>
      <c r="P729" s="112">
        <v>6037784.2439929144</v>
      </c>
      <c r="Q729" s="112">
        <v>80503.789919905525</v>
      </c>
      <c r="R729" s="112">
        <v>125218.8341620796</v>
      </c>
      <c r="S729" s="112">
        <v>33.496479236901557</v>
      </c>
      <c r="T729" s="113">
        <v>197583.59024472299</v>
      </c>
      <c r="U729" s="115">
        <v>124253980120.597</v>
      </c>
      <c r="V729" s="91">
        <v>2</v>
      </c>
      <c r="W729" s="91">
        <v>2</v>
      </c>
      <c r="X729" s="91">
        <v>4</v>
      </c>
      <c r="Y729" s="91">
        <v>4</v>
      </c>
      <c r="Z729" s="91">
        <v>4</v>
      </c>
      <c r="AA729" s="92">
        <v>3</v>
      </c>
      <c r="AB729" s="91">
        <v>4</v>
      </c>
      <c r="AC729" s="91">
        <v>4</v>
      </c>
      <c r="AD729" s="91">
        <v>4</v>
      </c>
      <c r="AE729" s="91">
        <v>4</v>
      </c>
      <c r="AF729" s="90">
        <v>1</v>
      </c>
      <c r="AG729" s="91">
        <v>1</v>
      </c>
      <c r="AH729" s="91">
        <v>1</v>
      </c>
      <c r="AI729" s="91">
        <v>1</v>
      </c>
      <c r="AJ729" s="91">
        <v>1</v>
      </c>
      <c r="AK729" s="93">
        <f t="shared" si="110"/>
        <v>215.57411418942283</v>
      </c>
      <c r="AL729" s="116">
        <f t="shared" si="111"/>
        <v>187.69929929227362</v>
      </c>
      <c r="AM729" s="117">
        <f t="shared" si="112"/>
        <v>167.24888938289536</v>
      </c>
      <c r="AN729" s="118">
        <f t="shared" si="113"/>
        <v>139.37407448574615</v>
      </c>
      <c r="AO729" s="91" t="str">
        <f>IF(head!$F$82="S460","a0","b")</f>
        <v>b</v>
      </c>
      <c r="AP729" s="91">
        <f t="shared" ref="AP729:AP736" si="120">IF(AO729="a0",0.13,IF(AO729="a",0.21,IF(AO729="b",0.34,IF(AO729="c",0.49,0.76))))</f>
        <v>0.34</v>
      </c>
      <c r="AQ729" s="96">
        <f>IF(head!F$82="S235",235,IF(head!F$82="S275",275,IF(head!F$82="S355",355,IF(head!F$82="S420",420,460))))^0.5*head!$G$70*1000/(S729*3.1416*210000^0.5)</f>
        <v>3.9070995735373972</v>
      </c>
      <c r="AR729" s="96">
        <f t="shared" ref="AR729:AR736" si="121">0.5*(1+AP729*(AQ729-0.2)+AQ729^2)</f>
        <v>8.7629204662694136</v>
      </c>
      <c r="AS729" s="96">
        <f t="shared" ref="AS729:AS736" si="122">IF(AQ729&lt;=0.2,1,1/(AR729+(AR729^2-AQ729^2)^0.5))</f>
        <v>6.0217013042295084E-2</v>
      </c>
      <c r="AT729" s="50">
        <f>IF(head!F$82="S235",235,IF(head!F$82="S275",275,IF(head!F$82="S355",355,IF(head!F$82="S420",420,460))))*AS729*J729/1000</f>
        <v>115.03416099204838</v>
      </c>
      <c r="AU729" s="201">
        <f t="shared" si="114"/>
        <v>1276.8705079283832</v>
      </c>
      <c r="AV729" s="45">
        <f>3.1416*1.13*head!$G$66/(1.4*head!$G$67)*((1+3.1416^2*AU729^2/(1.4*head!$G$67*1000)^2*(0.45^2+1))^0.5+3.1416*0.45*database!AU729/(1.4*head!$G$67*1000))</f>
        <v>31.784973147021905</v>
      </c>
      <c r="AW729" s="45">
        <f>AV729/(head!$G$66*1000)*(210000*database!P729*81000*database!T729)^0.5</f>
        <v>452781044.35950339</v>
      </c>
      <c r="AX729" s="46">
        <f>IF(head!$F$82="S235",database!AF729,(IF(head!$F$82="S275",database!AG729,IF(head!$F$82="S355",database!AH729,IF(head!$F$82="S420",database!AI729,database!AJ729)))))</f>
        <v>1</v>
      </c>
      <c r="AY729" s="45">
        <f t="shared" si="115"/>
        <v>628355.88646072743</v>
      </c>
      <c r="AZ729" s="202">
        <f>(AY729*VLOOKUP(head!$F$82,head!$L$1:$M$5,2)/AW729)^0.5</f>
        <v>0.70189621756832143</v>
      </c>
      <c r="BA729" s="97" t="str">
        <f t="shared" si="116"/>
        <v>IPE 330</v>
      </c>
    </row>
    <row r="730" spans="1:53">
      <c r="A730" s="109" t="s">
        <v>205</v>
      </c>
      <c r="B730" s="83">
        <f t="shared" si="109"/>
        <v>149.3903657220603</v>
      </c>
      <c r="C730" s="110">
        <v>330</v>
      </c>
      <c r="D730" s="110">
        <v>160</v>
      </c>
      <c r="E730" s="127">
        <v>7.5</v>
      </c>
      <c r="F730" s="110">
        <v>11.5</v>
      </c>
      <c r="G730" s="110">
        <v>18</v>
      </c>
      <c r="H730" s="111">
        <v>49.145898244859723</v>
      </c>
      <c r="I730" s="112">
        <v>50.08499184189526</v>
      </c>
      <c r="J730" s="112">
        <v>6260.6239802369073</v>
      </c>
      <c r="K730" s="112">
        <v>1.2540973355292326</v>
      </c>
      <c r="L730" s="113">
        <v>117669047.3922105</v>
      </c>
      <c r="M730" s="112">
        <v>713145.74177097285</v>
      </c>
      <c r="N730" s="112">
        <v>804330.67432210094</v>
      </c>
      <c r="O730" s="114">
        <v>137.09521866620102</v>
      </c>
      <c r="P730" s="112">
        <v>7881421.7032166766</v>
      </c>
      <c r="Q730" s="112">
        <v>98517.77129020846</v>
      </c>
      <c r="R730" s="112">
        <v>153678.38407015274</v>
      </c>
      <c r="S730" s="112">
        <v>35.480805642629029</v>
      </c>
      <c r="T730" s="113">
        <v>275995.50349294499</v>
      </c>
      <c r="U730" s="115">
        <v>196083826723.95099</v>
      </c>
      <c r="V730" s="91">
        <v>2</v>
      </c>
      <c r="W730" s="91">
        <v>3</v>
      </c>
      <c r="X730" s="91">
        <v>4</v>
      </c>
      <c r="Y730" s="91">
        <v>4</v>
      </c>
      <c r="Z730" s="91">
        <v>4</v>
      </c>
      <c r="AA730" s="92">
        <v>4</v>
      </c>
      <c r="AB730" s="91">
        <v>4</v>
      </c>
      <c r="AC730" s="91">
        <v>4</v>
      </c>
      <c r="AD730" s="91">
        <v>4</v>
      </c>
      <c r="AE730" s="91">
        <v>4</v>
      </c>
      <c r="AF730" s="90">
        <v>1</v>
      </c>
      <c r="AG730" s="91">
        <v>1</v>
      </c>
      <c r="AH730" s="91">
        <v>1</v>
      </c>
      <c r="AI730" s="91">
        <v>1</v>
      </c>
      <c r="AJ730" s="91">
        <v>1</v>
      </c>
      <c r="AK730" s="93">
        <f t="shared" si="110"/>
        <v>200.31507074823179</v>
      </c>
      <c r="AL730" s="116">
        <f t="shared" si="111"/>
        <v>174.75851272700635</v>
      </c>
      <c r="AM730" s="117">
        <f t="shared" si="112"/>
        <v>156.53391788000596</v>
      </c>
      <c r="AN730" s="118">
        <f t="shared" si="113"/>
        <v>130.97735985878049</v>
      </c>
      <c r="AO730" s="91" t="str">
        <f>IF(head!$F$82="S460","a0","b")</f>
        <v>b</v>
      </c>
      <c r="AP730" s="91">
        <f t="shared" si="120"/>
        <v>0.34</v>
      </c>
      <c r="AQ730" s="96">
        <f>IF(head!F$82="S235",235,IF(head!F$82="S275",275,IF(head!F$82="S355",355,IF(head!F$82="S420",420,460))))^0.5*head!$G$70*1000/(S730*3.1416*210000^0.5)</f>
        <v>3.6885881639694622</v>
      </c>
      <c r="AR730" s="96">
        <f t="shared" si="121"/>
        <v>7.8959013095626132</v>
      </c>
      <c r="AS730" s="96">
        <f t="shared" si="122"/>
        <v>6.7216611784998687E-2</v>
      </c>
      <c r="AT730" s="50">
        <f>IF(head!F$82="S235",235,IF(head!F$82="S275",275,IF(head!F$82="S355",355,IF(head!F$82="S420",420,460))))*AS730*J730/1000</f>
        <v>149.3903657220603</v>
      </c>
      <c r="AU730" s="196">
        <f t="shared" si="114"/>
        <v>1357.1786578329798</v>
      </c>
      <c r="AV730" s="50">
        <f>3.1416*1.13*head!$G$66/(1.4*head!$G$67)*((1+3.1416^2*AU730^2/(1.4*head!$G$67*1000)^2*(0.45^2+1))^0.5+3.1416*0.45*database!AU730/(1.4*head!$G$67*1000))</f>
        <v>33.365053027604631</v>
      </c>
      <c r="AW730" s="50">
        <f>AV730/(head!$G$66*1000)*(210000*database!P730*81000*database!T730)^0.5</f>
        <v>641796378.68314314</v>
      </c>
      <c r="AX730" s="51">
        <f>IF(head!$F$82="S235",database!AF730,(IF(head!$F$82="S275",database!AG730,IF(head!$F$82="S355",database!AH730,IF(head!$F$82="S420",database!AI730,database!AJ730)))))</f>
        <v>1</v>
      </c>
      <c r="AY730" s="50">
        <f t="shared" si="115"/>
        <v>804330.67432210094</v>
      </c>
      <c r="AZ730" s="197">
        <f>(AY730*VLOOKUP(head!$F$82,head!$L$1:$M$5,2)/AW730)^0.5</f>
        <v>0.66701079264718055</v>
      </c>
      <c r="BA730" s="97" t="str">
        <f t="shared" si="116"/>
        <v>IPE 360</v>
      </c>
    </row>
    <row r="731" spans="1:53">
      <c r="A731" s="109" t="s">
        <v>206</v>
      </c>
      <c r="B731" s="83">
        <f t="shared" si="109"/>
        <v>196.54610319553743</v>
      </c>
      <c r="C731" s="110">
        <v>360</v>
      </c>
      <c r="D731" s="110">
        <v>170</v>
      </c>
      <c r="E731" s="127">
        <v>8</v>
      </c>
      <c r="F731" s="110">
        <v>12.7</v>
      </c>
      <c r="G731" s="110">
        <v>18</v>
      </c>
      <c r="H731" s="111">
        <v>57.092453244859726</v>
      </c>
      <c r="I731" s="112">
        <v>58.183391841895258</v>
      </c>
      <c r="J731" s="112">
        <v>7272.9239802369075</v>
      </c>
      <c r="K731" s="112">
        <v>1.3530973355292326</v>
      </c>
      <c r="L731" s="113">
        <v>162656309.20663005</v>
      </c>
      <c r="M731" s="112">
        <v>903646.16225905588</v>
      </c>
      <c r="N731" s="112">
        <v>1019146.9302493702</v>
      </c>
      <c r="O731" s="114">
        <v>149.54811136633731</v>
      </c>
      <c r="P731" s="112">
        <v>10434519.648833852</v>
      </c>
      <c r="Q731" s="112">
        <v>122759.05469216297</v>
      </c>
      <c r="R731" s="112">
        <v>191099.32756521198</v>
      </c>
      <c r="S731" s="112">
        <v>37.877534856053138</v>
      </c>
      <c r="T731" s="113">
        <v>370950.66131164302</v>
      </c>
      <c r="U731" s="115">
        <v>309359162024.84302</v>
      </c>
      <c r="V731" s="91">
        <v>2</v>
      </c>
      <c r="W731" s="91">
        <v>3</v>
      </c>
      <c r="X731" s="91">
        <v>4</v>
      </c>
      <c r="Y731" s="91">
        <v>4</v>
      </c>
      <c r="Z731" s="91">
        <v>4</v>
      </c>
      <c r="AA731" s="92">
        <v>4</v>
      </c>
      <c r="AB731" s="91">
        <v>4</v>
      </c>
      <c r="AC731" s="91">
        <v>4</v>
      </c>
      <c r="AD731" s="91">
        <v>4</v>
      </c>
      <c r="AE731" s="91">
        <v>4</v>
      </c>
      <c r="AF731" s="90">
        <v>1</v>
      </c>
      <c r="AG731" s="91">
        <v>1</v>
      </c>
      <c r="AH731" s="91">
        <v>1</v>
      </c>
      <c r="AI731" s="91">
        <v>1</v>
      </c>
      <c r="AJ731" s="91">
        <v>1</v>
      </c>
      <c r="AK731" s="93">
        <f t="shared" si="110"/>
        <v>186.04585160054938</v>
      </c>
      <c r="AL731" s="116">
        <f t="shared" si="111"/>
        <v>162.67148381367991</v>
      </c>
      <c r="AM731" s="117">
        <f t="shared" si="112"/>
        <v>145.74605796518605</v>
      </c>
      <c r="AN731" s="118">
        <f t="shared" si="113"/>
        <v>122.37169017831658</v>
      </c>
      <c r="AO731" s="91" t="str">
        <f>IF(head!$F$82="S460","a0","b")</f>
        <v>b</v>
      </c>
      <c r="AP731" s="91">
        <f t="shared" si="120"/>
        <v>0.34</v>
      </c>
      <c r="AQ731" s="96">
        <f>IF(head!F$82="S235",235,IF(head!F$82="S275",275,IF(head!F$82="S355",355,IF(head!F$82="S420",420,460))))^0.5*head!$G$70*1000/(S731*3.1416*210000^0.5)</f>
        <v>3.455190002170577</v>
      </c>
      <c r="AR731" s="96">
        <f t="shared" si="121"/>
        <v>7.0225512759187545</v>
      </c>
      <c r="AS731" s="96">
        <f t="shared" si="122"/>
        <v>7.6124952827978321E-2</v>
      </c>
      <c r="AT731" s="50">
        <f>IF(head!F$82="S235",235,IF(head!F$82="S275",275,IF(head!F$82="S355",355,IF(head!F$82="S420",420,460))))*AS731*J731/1000</f>
        <v>196.54610319553743</v>
      </c>
      <c r="AU731" s="196">
        <f t="shared" si="114"/>
        <v>1470.4171331848513</v>
      </c>
      <c r="AV731" s="50">
        <f>3.1416*1.13*head!$G$66/(1.4*head!$G$67)*((1+3.1416^2*AU731^2/(1.4*head!$G$67*1000)^2*(0.45^2+1))^0.5+3.1416*0.45*database!AU731/(1.4*head!$G$67*1000))</f>
        <v>35.621134963799534</v>
      </c>
      <c r="AW731" s="50">
        <f>AV731/(head!$G$66*1000)*(210000*database!P731*81000*database!T731)^0.5</f>
        <v>914016877.43533289</v>
      </c>
      <c r="AX731" s="51">
        <f>IF(head!$F$82="S235",database!AF731,(IF(head!$F$82="S275",database!AG731,IF(head!$F$82="S355",database!AH731,IF(head!$F$82="S420",database!AI731,database!AJ731)))))</f>
        <v>1</v>
      </c>
      <c r="AY731" s="50">
        <f t="shared" si="115"/>
        <v>1019146.9302493702</v>
      </c>
      <c r="AZ731" s="197">
        <f>(AY731*VLOOKUP(head!$F$82,head!$L$1:$M$5,2)/AW731)^0.5</f>
        <v>0.62915183746303027</v>
      </c>
      <c r="BA731" s="97" t="str">
        <f t="shared" si="116"/>
        <v>IPE 400</v>
      </c>
    </row>
    <row r="732" spans="1:53">
      <c r="A732" s="109" t="s">
        <v>207</v>
      </c>
      <c r="B732" s="83">
        <f t="shared" si="109"/>
        <v>247.16266119821688</v>
      </c>
      <c r="C732" s="110">
        <v>400</v>
      </c>
      <c r="D732" s="110">
        <v>180</v>
      </c>
      <c r="E732" s="127">
        <v>8.6</v>
      </c>
      <c r="F732" s="110">
        <v>13.5</v>
      </c>
      <c r="G732" s="110">
        <v>21</v>
      </c>
      <c r="H732" s="111">
        <v>66.303907472170167</v>
      </c>
      <c r="I732" s="112">
        <v>67.570861118135198</v>
      </c>
      <c r="J732" s="112">
        <v>8446.3576397669003</v>
      </c>
      <c r="K732" s="112">
        <v>1.4667468914507713</v>
      </c>
      <c r="L732" s="113">
        <v>231283690.88907623</v>
      </c>
      <c r="M732" s="112">
        <v>1156418.4544453812</v>
      </c>
      <c r="N732" s="112">
        <v>1307147.6393814222</v>
      </c>
      <c r="O732" s="114">
        <v>165.47705051200114</v>
      </c>
      <c r="P732" s="112">
        <v>13178240.280089362</v>
      </c>
      <c r="Q732" s="112">
        <v>146424.89200099293</v>
      </c>
      <c r="R732" s="112">
        <v>229000.27828610261</v>
      </c>
      <c r="S732" s="112">
        <v>39.49971641129823</v>
      </c>
      <c r="T732" s="113">
        <v>504297.04243728402</v>
      </c>
      <c r="U732" s="115">
        <v>482874034103.77698</v>
      </c>
      <c r="V732" s="91">
        <v>3</v>
      </c>
      <c r="W732" s="91">
        <v>3</v>
      </c>
      <c r="X732" s="91">
        <v>4</v>
      </c>
      <c r="Y732" s="91">
        <v>4</v>
      </c>
      <c r="Z732" s="91">
        <v>4</v>
      </c>
      <c r="AA732" s="92">
        <v>4</v>
      </c>
      <c r="AB732" s="91">
        <v>4</v>
      </c>
      <c r="AC732" s="91">
        <v>4</v>
      </c>
      <c r="AD732" s="91">
        <v>4</v>
      </c>
      <c r="AE732" s="91">
        <v>4</v>
      </c>
      <c r="AF732" s="90">
        <v>1</v>
      </c>
      <c r="AG732" s="91">
        <v>1</v>
      </c>
      <c r="AH732" s="91">
        <v>1</v>
      </c>
      <c r="AI732" s="91">
        <v>1</v>
      </c>
      <c r="AJ732" s="91">
        <v>1</v>
      </c>
      <c r="AK732" s="93">
        <f t="shared" si="110"/>
        <v>173.65436724406214</v>
      </c>
      <c r="AL732" s="116">
        <f t="shared" si="111"/>
        <v>152.34340603724218</v>
      </c>
      <c r="AM732" s="117">
        <f t="shared" si="112"/>
        <v>137.3373055550621</v>
      </c>
      <c r="AN732" s="118">
        <f t="shared" si="113"/>
        <v>116.02634434824213</v>
      </c>
      <c r="AO732" s="91" t="str">
        <f>IF(head!$F$82="S460","a0","b")</f>
        <v>b</v>
      </c>
      <c r="AP732" s="91">
        <f t="shared" si="120"/>
        <v>0.34</v>
      </c>
      <c r="AQ732" s="96">
        <f>IF(head!F$82="S235",235,IF(head!F$82="S275",275,IF(head!F$82="S355",355,IF(head!F$82="S420",420,460))))^0.5*head!$G$70*1000/(S732*3.1416*210000^0.5)</f>
        <v>3.3132916292044068</v>
      </c>
      <c r="AR732" s="96">
        <f t="shared" si="121"/>
        <v>6.518210287042745</v>
      </c>
      <c r="AS732" s="96">
        <f t="shared" si="122"/>
        <v>8.2429951245220512E-2</v>
      </c>
      <c r="AT732" s="50">
        <f>IF(head!F$82="S235",235,IF(head!F$82="S275",275,IF(head!F$82="S355",355,IF(head!F$82="S420",420,460))))*AS732*J732/1000</f>
        <v>247.16266119821688</v>
      </c>
      <c r="AU732" s="196">
        <f t="shared" si="114"/>
        <v>1575.5814301831972</v>
      </c>
      <c r="AV732" s="50">
        <f>3.1416*1.13*head!$G$66/(1.4*head!$G$67)*((1+3.1416^2*AU732^2/(1.4*head!$G$67*1000)^2*(0.45^2+1))^0.5+3.1416*0.45*database!AU732/(1.4*head!$G$67*1000))</f>
        <v>37.741486848622792</v>
      </c>
      <c r="AW732" s="50">
        <f>AV732/(head!$G$66*1000)*(210000*database!P732*81000*database!T732)^0.5</f>
        <v>1268945832.4680178</v>
      </c>
      <c r="AX732" s="51">
        <f>IF(head!$F$82="S235",database!AF732,(IF(head!$F$82="S275",database!AG732,IF(head!$F$82="S355",database!AH732,IF(head!$F$82="S420",database!AI732,database!AJ732)))))</f>
        <v>1</v>
      </c>
      <c r="AY732" s="50">
        <f t="shared" si="115"/>
        <v>1307147.6393814222</v>
      </c>
      <c r="AZ732" s="197">
        <f>(AY732*VLOOKUP(head!$F$82,head!$L$1:$M$5,2)/AW732)^0.5</f>
        <v>0.60472086857431451</v>
      </c>
      <c r="BA732" s="97" t="str">
        <f t="shared" si="116"/>
        <v>IPE 450</v>
      </c>
    </row>
    <row r="733" spans="1:53">
      <c r="A733" s="109" t="s">
        <v>208</v>
      </c>
      <c r="B733" s="83">
        <f t="shared" si="109"/>
        <v>312.90257402937277</v>
      </c>
      <c r="C733" s="110">
        <v>450</v>
      </c>
      <c r="D733" s="110">
        <v>190</v>
      </c>
      <c r="E733" s="127">
        <v>9.4</v>
      </c>
      <c r="F733" s="110">
        <v>14.6</v>
      </c>
      <c r="G733" s="110">
        <v>21</v>
      </c>
      <c r="H733" s="111">
        <v>77.574309472170171</v>
      </c>
      <c r="I733" s="112">
        <v>79.056621118135212</v>
      </c>
      <c r="J733" s="112">
        <v>9882.0776397669015</v>
      </c>
      <c r="K733" s="112">
        <v>1.6051468914507714</v>
      </c>
      <c r="L733" s="113">
        <v>337429418.08865297</v>
      </c>
      <c r="M733" s="112">
        <v>1499686.3026162353</v>
      </c>
      <c r="N733" s="112">
        <v>1701793.1209718508</v>
      </c>
      <c r="O733" s="114">
        <v>184.78526651486931</v>
      </c>
      <c r="P733" s="112">
        <v>16758612.060873941</v>
      </c>
      <c r="Q733" s="112">
        <v>176406.44274604149</v>
      </c>
      <c r="R733" s="112">
        <v>276380.40334200935</v>
      </c>
      <c r="S733" s="112">
        <v>41.180810795490672</v>
      </c>
      <c r="T733" s="113">
        <v>660739.50691333797</v>
      </c>
      <c r="U733" s="115">
        <v>780951618975.03101</v>
      </c>
      <c r="V733" s="91">
        <v>3</v>
      </c>
      <c r="W733" s="91">
        <v>4</v>
      </c>
      <c r="X733" s="91">
        <v>4</v>
      </c>
      <c r="Y733" s="91">
        <v>4</v>
      </c>
      <c r="Z733" s="91">
        <v>4</v>
      </c>
      <c r="AA733" s="92">
        <v>4</v>
      </c>
      <c r="AB733" s="91">
        <v>4</v>
      </c>
      <c r="AC733" s="91">
        <v>4</v>
      </c>
      <c r="AD733" s="91">
        <v>4</v>
      </c>
      <c r="AE733" s="91">
        <v>4</v>
      </c>
      <c r="AF733" s="90">
        <v>1</v>
      </c>
      <c r="AG733" s="91">
        <v>1</v>
      </c>
      <c r="AH733" s="91">
        <v>1</v>
      </c>
      <c r="AI733" s="91">
        <v>1</v>
      </c>
      <c r="AJ733" s="91">
        <v>1</v>
      </c>
      <c r="AK733" s="93">
        <f t="shared" si="110"/>
        <v>162.43010326000976</v>
      </c>
      <c r="AL733" s="116">
        <f t="shared" si="111"/>
        <v>143.20337716797698</v>
      </c>
      <c r="AM733" s="117">
        <f t="shared" si="112"/>
        <v>129.5274178831682</v>
      </c>
      <c r="AN733" s="118">
        <f t="shared" si="113"/>
        <v>110.30069179113542</v>
      </c>
      <c r="AO733" s="91" t="str">
        <f>IF(head!$F$82="S460","a0","b")</f>
        <v>b</v>
      </c>
      <c r="AP733" s="91">
        <f t="shared" si="120"/>
        <v>0.34</v>
      </c>
      <c r="AQ733" s="96">
        <f>IF(head!F$82="S235",235,IF(head!F$82="S275",275,IF(head!F$82="S355",355,IF(head!F$82="S420",420,460))))^0.5*head!$G$70*1000/(S733*3.1416*210000^0.5)</f>
        <v>3.1780355270672129</v>
      </c>
      <c r="AR733" s="96">
        <f t="shared" si="121"/>
        <v>6.0562209452521154</v>
      </c>
      <c r="AS733" s="96">
        <f t="shared" si="122"/>
        <v>8.9193359293621349E-2</v>
      </c>
      <c r="AT733" s="50">
        <f>IF(head!F$82="S235",235,IF(head!F$82="S275",275,IF(head!F$82="S355",355,IF(head!F$82="S420",420,460))))*AS733*J733/1000</f>
        <v>312.90257402937277</v>
      </c>
      <c r="AU733" s="196">
        <f t="shared" si="114"/>
        <v>1750.5078604779912</v>
      </c>
      <c r="AV733" s="50">
        <f>3.1416*1.13*head!$G$66/(1.4*head!$G$67)*((1+3.1416^2*AU733^2/(1.4*head!$G$67*1000)^2*(0.45^2+1))^0.5+3.1416*0.45*database!AU733/(1.4*head!$G$67*1000))</f>
        <v>41.312356788205889</v>
      </c>
      <c r="AW733" s="50">
        <f>AV733/(head!$G$66*1000)*(210000*database!P733*81000*database!T733)^0.5</f>
        <v>1792942201.0124285</v>
      </c>
      <c r="AX733" s="51">
        <f>IF(head!$F$82="S235",database!AF733,(IF(head!$F$82="S275",database!AG733,IF(head!$F$82="S355",database!AH733,IF(head!$F$82="S420",database!AI733,database!AJ733)))))</f>
        <v>1</v>
      </c>
      <c r="AY733" s="50">
        <f t="shared" si="115"/>
        <v>1701793.1209718508</v>
      </c>
      <c r="AZ733" s="197">
        <f>(AY733*VLOOKUP(head!$F$82,head!$L$1:$M$5,2)/AW733)^0.5</f>
        <v>0.58047619424315289</v>
      </c>
      <c r="BA733" s="97" t="str">
        <f t="shared" si="116"/>
        <v>IPE 500</v>
      </c>
    </row>
    <row r="734" spans="1:53">
      <c r="A734" s="109" t="s">
        <v>209</v>
      </c>
      <c r="B734" s="83">
        <f t="shared" si="109"/>
        <v>397.85035911341981</v>
      </c>
      <c r="C734" s="110">
        <v>500</v>
      </c>
      <c r="D734" s="110">
        <v>200</v>
      </c>
      <c r="E734" s="127">
        <v>10.199999999999999</v>
      </c>
      <c r="F734" s="110">
        <v>16</v>
      </c>
      <c r="G734" s="110">
        <v>21</v>
      </c>
      <c r="H734" s="111">
        <v>90.68443747217016</v>
      </c>
      <c r="I734" s="112">
        <v>92.417261118135201</v>
      </c>
      <c r="J734" s="112">
        <v>11552.1576397669</v>
      </c>
      <c r="K734" s="112">
        <v>1.7435468914507712</v>
      </c>
      <c r="L734" s="113">
        <v>481985349.071702</v>
      </c>
      <c r="M734" s="112">
        <v>1927941.396286808</v>
      </c>
      <c r="N734" s="112">
        <v>2194117.9772703499</v>
      </c>
      <c r="O734" s="114">
        <v>204.26095838965679</v>
      </c>
      <c r="P734" s="112">
        <v>21416877.874903243</v>
      </c>
      <c r="Q734" s="112">
        <v>214168.77874903244</v>
      </c>
      <c r="R734" s="112">
        <v>335879.03439791611</v>
      </c>
      <c r="S734" s="112">
        <v>43.057273610488807</v>
      </c>
      <c r="T734" s="113">
        <v>886444.3203830549</v>
      </c>
      <c r="U734" s="115">
        <v>1235377575484.97</v>
      </c>
      <c r="V734" s="91">
        <v>3</v>
      </c>
      <c r="W734" s="91">
        <v>4</v>
      </c>
      <c r="X734" s="91">
        <v>4</v>
      </c>
      <c r="Y734" s="91">
        <v>4</v>
      </c>
      <c r="Z734" s="91">
        <v>4</v>
      </c>
      <c r="AA734" s="92">
        <v>4</v>
      </c>
      <c r="AB734" s="91">
        <v>4</v>
      </c>
      <c r="AC734" s="91">
        <v>4</v>
      </c>
      <c r="AD734" s="91">
        <v>4</v>
      </c>
      <c r="AE734" s="91">
        <v>4</v>
      </c>
      <c r="AF734" s="90">
        <v>1</v>
      </c>
      <c r="AG734" s="91">
        <v>1</v>
      </c>
      <c r="AH734" s="91">
        <v>1</v>
      </c>
      <c r="AI734" s="91">
        <v>1</v>
      </c>
      <c r="AJ734" s="91">
        <v>1</v>
      </c>
      <c r="AK734" s="93">
        <f t="shared" si="110"/>
        <v>150.92824611818168</v>
      </c>
      <c r="AL734" s="116">
        <f t="shared" si="111"/>
        <v>133.61546297959944</v>
      </c>
      <c r="AM734" s="117">
        <f t="shared" si="112"/>
        <v>121.18948197007545</v>
      </c>
      <c r="AN734" s="118">
        <f t="shared" si="113"/>
        <v>103.87669883149324</v>
      </c>
      <c r="AO734" s="91" t="str">
        <f>IF(head!$F$82="S460","a0","b")</f>
        <v>b</v>
      </c>
      <c r="AP734" s="91">
        <f t="shared" si="120"/>
        <v>0.34</v>
      </c>
      <c r="AQ734" s="96">
        <f>IF(head!F$82="S235",235,IF(head!F$82="S275",275,IF(head!F$82="S355",355,IF(head!F$82="S420",420,460))))^0.5*head!$G$70*1000/(S734*3.1416*210000^0.5)</f>
        <v>3.0395347584112078</v>
      </c>
      <c r="AR734" s="96">
        <f t="shared" si="121"/>
        <v>5.6021066827248447</v>
      </c>
      <c r="AS734" s="96">
        <f t="shared" si="122"/>
        <v>9.7012633647009724E-2</v>
      </c>
      <c r="AT734" s="50">
        <f>IF(head!F$82="S235",235,IF(head!F$82="S275",275,IF(head!F$82="S355",355,IF(head!F$82="S420",420,460))))*AS734*J734/1000</f>
        <v>397.85035911341981</v>
      </c>
      <c r="AU734" s="196">
        <f t="shared" si="114"/>
        <v>1900.8211864078248</v>
      </c>
      <c r="AV734" s="50">
        <f>3.1416*1.13*head!$G$66/(1.4*head!$G$67)*((1+3.1416^2*AU734^2/(1.4*head!$G$67*1000)^2*(0.45^2+1))^0.5+3.1416*0.45*database!AU734/(1.4*head!$G$67*1000))</f>
        <v>44.416431096966292</v>
      </c>
      <c r="AW734" s="50">
        <f>AV734/(head!$G$66*1000)*(210000*database!P734*81000*database!T734)^0.5</f>
        <v>2524059726.9464593</v>
      </c>
      <c r="AX734" s="51">
        <f>IF(head!$F$82="S235",database!AF734,(IF(head!$F$82="S275",database!AG734,IF(head!$F$82="S355",database!AH734,IF(head!$F$82="S420",database!AI734,database!AJ734)))))</f>
        <v>1</v>
      </c>
      <c r="AY734" s="50">
        <f t="shared" si="115"/>
        <v>2194117.9772703499</v>
      </c>
      <c r="AZ734" s="197">
        <f>(AY734*VLOOKUP(head!$F$82,head!$L$1:$M$5,2)/AW734)^0.5</f>
        <v>0.55551315866857165</v>
      </c>
      <c r="BA734" s="97" t="str">
        <f t="shared" si="116"/>
        <v>IPE 550</v>
      </c>
    </row>
    <row r="735" spans="1:53">
      <c r="A735" s="109" t="s">
        <v>210</v>
      </c>
      <c r="B735" s="83">
        <f t="shared" si="109"/>
        <v>493.52174719911557</v>
      </c>
      <c r="C735" s="110">
        <v>550</v>
      </c>
      <c r="D735" s="110">
        <v>210</v>
      </c>
      <c r="E735" s="127">
        <v>11.1</v>
      </c>
      <c r="F735" s="110">
        <v>17.2</v>
      </c>
      <c r="G735" s="110">
        <v>24</v>
      </c>
      <c r="H735" s="111">
        <v>105.51658065752839</v>
      </c>
      <c r="I735" s="112">
        <v>107.53282105225824</v>
      </c>
      <c r="J735" s="112">
        <v>13441.60263153228</v>
      </c>
      <c r="K735" s="112">
        <v>1.87659644737231</v>
      </c>
      <c r="L735" s="113">
        <v>671165170.42331505</v>
      </c>
      <c r="M735" s="112">
        <v>2440600.6197211458</v>
      </c>
      <c r="N735" s="112">
        <v>2787005.6112522464</v>
      </c>
      <c r="O735" s="114">
        <v>223.45453821763971</v>
      </c>
      <c r="P735" s="112">
        <v>26675837.22620121</v>
      </c>
      <c r="Q735" s="112">
        <v>254055.59263048772</v>
      </c>
      <c r="R735" s="112">
        <v>400536.5487617788</v>
      </c>
      <c r="S735" s="112">
        <v>44.548542851568719</v>
      </c>
      <c r="T735" s="113">
        <v>1217845.7709027899</v>
      </c>
      <c r="U735" s="115">
        <v>1861466014141.6001</v>
      </c>
      <c r="V735" s="91">
        <v>4</v>
      </c>
      <c r="W735" s="91">
        <v>4</v>
      </c>
      <c r="X735" s="91">
        <v>4</v>
      </c>
      <c r="Y735" s="91">
        <v>4</v>
      </c>
      <c r="Z735" s="91">
        <v>4</v>
      </c>
      <c r="AA735" s="92">
        <v>4</v>
      </c>
      <c r="AB735" s="91">
        <v>4</v>
      </c>
      <c r="AC735" s="91">
        <v>4</v>
      </c>
      <c r="AD735" s="91">
        <v>4</v>
      </c>
      <c r="AE735" s="91">
        <v>4</v>
      </c>
      <c r="AF735" s="90">
        <v>1</v>
      </c>
      <c r="AG735" s="91">
        <v>1</v>
      </c>
      <c r="AH735" s="91">
        <v>1</v>
      </c>
      <c r="AI735" s="91">
        <v>1</v>
      </c>
      <c r="AJ735" s="91">
        <v>1</v>
      </c>
      <c r="AK735" s="93">
        <f t="shared" si="110"/>
        <v>139.6110641576366</v>
      </c>
      <c r="AL735" s="116">
        <f t="shared" si="111"/>
        <v>123.98792711389102</v>
      </c>
      <c r="AM735" s="117">
        <f t="shared" si="112"/>
        <v>113.08175384044418</v>
      </c>
      <c r="AN735" s="118">
        <f t="shared" si="113"/>
        <v>97.458616796698607</v>
      </c>
      <c r="AO735" s="91" t="str">
        <f>IF(head!$F$82="S460","a0","b")</f>
        <v>b</v>
      </c>
      <c r="AP735" s="91">
        <f t="shared" si="120"/>
        <v>0.34</v>
      </c>
      <c r="AQ735" s="96">
        <f>IF(head!F$82="S235",235,IF(head!F$82="S275",275,IF(head!F$82="S355",355,IF(head!F$82="S420",420,460))))^0.5*head!$G$70*1000/(S735*3.1416*210000^0.5)</f>
        <v>2.9377858705179576</v>
      </c>
      <c r="AR735" s="96">
        <f t="shared" si="121"/>
        <v>5.2807165084955301</v>
      </c>
      <c r="AS735" s="96">
        <f t="shared" si="122"/>
        <v>0.10342532381704282</v>
      </c>
      <c r="AT735" s="50">
        <f>IF(head!F$82="S235",235,IF(head!F$82="S275",275,IF(head!F$82="S355",355,IF(head!F$82="S420",420,460))))*AS735*J735/1000</f>
        <v>493.52174719911557</v>
      </c>
      <c r="AU735" s="196">
        <f t="shared" si="114"/>
        <v>1990.6666811512448</v>
      </c>
      <c r="AV735" s="50">
        <f>3.1416*1.13*head!$G$66/(1.4*head!$G$67)*((1+3.1416^2*AU735^2/(1.4*head!$G$67*1000)^2*(0.45^2+1))^0.5+3.1416*0.45*database!AU735/(1.4*head!$G$67*1000))</f>
        <v>46.284767162937214</v>
      </c>
      <c r="AW735" s="50">
        <f>AV735/(head!$G$66*1000)*(210000*database!P735*81000*database!T735)^0.5</f>
        <v>3440688973.5837998</v>
      </c>
      <c r="AX735" s="51">
        <f>IF(head!$F$82="S235",database!AF735,(IF(head!$F$82="S275",database!AG735,IF(head!$F$82="S355",database!AH735,IF(head!$F$82="S420",database!AI735,database!AJ735)))))</f>
        <v>1</v>
      </c>
      <c r="AY735" s="50">
        <f t="shared" si="115"/>
        <v>2787005.6112522464</v>
      </c>
      <c r="AZ735" s="197">
        <f>(AY735*VLOOKUP(head!$F$82,head!$L$1:$M$5,2)/AW735)^0.5</f>
        <v>0.53624146175804099</v>
      </c>
      <c r="BA735" s="97" t="str">
        <f>A736</f>
        <v>IPE 600</v>
      </c>
    </row>
    <row r="736" spans="1:53" ht="14" thickBot="1">
      <c r="A736" s="225" t="s">
        <v>211</v>
      </c>
      <c r="B736" s="226">
        <f t="shared" si="109"/>
        <v>623.1204669287672</v>
      </c>
      <c r="C736" s="227">
        <v>600</v>
      </c>
      <c r="D736" s="228">
        <v>220</v>
      </c>
      <c r="E736" s="229">
        <v>12</v>
      </c>
      <c r="F736" s="228">
        <v>19</v>
      </c>
      <c r="G736" s="228">
        <v>24</v>
      </c>
      <c r="H736" s="230">
        <v>122.4477746575284</v>
      </c>
      <c r="I736" s="231">
        <v>124.78754105225823</v>
      </c>
      <c r="J736" s="231">
        <v>15598.44263153228</v>
      </c>
      <c r="K736" s="231">
        <v>2.0147964473723099</v>
      </c>
      <c r="L736" s="232">
        <v>920834571.77568281</v>
      </c>
      <c r="M736" s="233">
        <v>3069448.5725856093</v>
      </c>
      <c r="N736" s="233">
        <v>3512399.7563037956</v>
      </c>
      <c r="O736" s="234">
        <v>242.96862057039939</v>
      </c>
      <c r="P736" s="233">
        <v>33873424.773986369</v>
      </c>
      <c r="Q736" s="233">
        <v>307940.22521805792</v>
      </c>
      <c r="R736" s="233">
        <v>485649.27894596837</v>
      </c>
      <c r="S736" s="231">
        <v>46.600323771882508</v>
      </c>
      <c r="T736" s="232">
        <v>1646117.4571889199</v>
      </c>
      <c r="U736" s="235">
        <v>2814648875763.1299</v>
      </c>
      <c r="V736" s="236">
        <v>4</v>
      </c>
      <c r="W736" s="237">
        <v>4</v>
      </c>
      <c r="X736" s="237">
        <v>4</v>
      </c>
      <c r="Y736" s="237">
        <v>4</v>
      </c>
      <c r="Z736" s="237">
        <v>4</v>
      </c>
      <c r="AA736" s="238">
        <v>4</v>
      </c>
      <c r="AB736" s="237">
        <v>4</v>
      </c>
      <c r="AC736" s="239">
        <v>4</v>
      </c>
      <c r="AD736" s="239">
        <v>4</v>
      </c>
      <c r="AE736" s="237">
        <v>4</v>
      </c>
      <c r="AF736" s="236">
        <v>1</v>
      </c>
      <c r="AG736" s="237">
        <v>1</v>
      </c>
      <c r="AH736" s="240">
        <v>1</v>
      </c>
      <c r="AI736" s="240">
        <v>1</v>
      </c>
      <c r="AJ736" s="237">
        <v>1</v>
      </c>
      <c r="AK736" s="241">
        <f t="shared" si="110"/>
        <v>129.16651328379382</v>
      </c>
      <c r="AL736" s="123">
        <f t="shared" si="111"/>
        <v>115.06254116318803</v>
      </c>
      <c r="AM736" s="242">
        <f t="shared" si="112"/>
        <v>105.13870126269767</v>
      </c>
      <c r="AN736" s="243">
        <f t="shared" si="113"/>
        <v>91.034729142091876</v>
      </c>
      <c r="AO736" s="237" t="str">
        <f>IF(head!$F$82="S460","a0","b")</f>
        <v>b</v>
      </c>
      <c r="AP736" s="237">
        <f t="shared" si="120"/>
        <v>0.34</v>
      </c>
      <c r="AQ736" s="244">
        <f>IF(head!F$82="S235",235,IF(head!F$82="S275",275,IF(head!F$82="S355",355,IF(head!F$82="S420",420,460))))^0.5*head!$G$70*1000/(S736*3.1416*210000^0.5)</f>
        <v>2.8084371340885093</v>
      </c>
      <c r="AR736" s="244">
        <f t="shared" si="121"/>
        <v>4.8870938808586857</v>
      </c>
      <c r="AS736" s="244">
        <f t="shared" si="122"/>
        <v>0.11252847238594353</v>
      </c>
      <c r="AT736" s="245">
        <f>IF(head!F$82="S235",235,IF(head!F$82="S275",275,IF(head!F$82="S355",355,IF(head!F$82="S420",420,460))))*AS736*J736/1000</f>
        <v>623.1204669287672</v>
      </c>
      <c r="AU736" s="246">
        <f t="shared" si="114"/>
        <v>2105.4689445694785</v>
      </c>
      <c r="AV736" s="247">
        <f>3.1416*1.13*head!$G$66/(1.4*head!$G$67)*((1+3.1416^2*AU736^2/(1.4*head!$G$67*1000)^2*(0.45^2+1))^0.5+3.1416*0.45*database!AU736/(1.4*head!$G$67*1000))</f>
        <v>48.684148060914367</v>
      </c>
      <c r="AW736" s="247">
        <f>AV736/(head!$G$66*1000)*(210000*database!P736*81000*database!T736)^0.5</f>
        <v>4741324674.7952175</v>
      </c>
      <c r="AX736" s="248">
        <f>IF(head!$F$82="S235",database!AF736,(IF(head!$F$82="S275",database!AG736,IF(head!$F$82="S355",database!AH736,IF(head!$F$82="S420",database!AI736,database!AJ736)))))</f>
        <v>1</v>
      </c>
      <c r="AY736" s="247">
        <f t="shared" si="115"/>
        <v>3512399.7563037956</v>
      </c>
      <c r="AZ736" s="249">
        <f>(AY736*VLOOKUP(head!$F$82,head!$L$1:$M$5,2)/AW736)^0.5</f>
        <v>0.51282158637213715</v>
      </c>
      <c r="BA736" s="250" t="s">
        <v>153</v>
      </c>
    </row>
  </sheetData>
  <sheetProtection selectLockedCells="1" selectUnlockedCells="1"/>
  <customSheetViews>
    <customSheetView guid="{8A435FCC-8BD6-DD45-9129-438811B87EB1}" scale="125" showGridLines="0" fitToPage="1">
      <pane ySplit="3.0666666666666664" topLeftCell="A4" activePane="bottomLeft" state="frozenSplit"/>
      <selection pane="bottomLeft"/>
      <pageMargins left="0.7" right="0.7" top="0.75" bottom="0.75" header="0.3" footer="0.3"/>
      <pageSetup paperSize="8" scale="10" orientation="landscape"/>
    </customSheetView>
    <customSheetView guid="{56E0D05E-C3B0-4A86-B9AD-C3673A46D46E}" scale="125" showGridLines="0">
      <pane ySplit="3" topLeftCell="A4" activePane="bottomLeft" state="frozenSplit"/>
      <selection pane="bottomLeft"/>
      <pageMargins left="0.7" right="0.7" top="0.75" bottom="0.75" header="0.3" footer="0.3"/>
      <pageSetup paperSize="8" scale="10" orientation="landscape"/>
    </customSheetView>
    <customSheetView guid="{F8C9D615-8E46-F541-BBB3-6F54684CB42D}" scale="125" showPageBreaks="1" showGridLines="0" fitToPage="1" hiddenRows="1" topLeftCell="E1">
      <pane ySplit="3.0666666666666664" topLeftCell="A680" activePane="bottomLeft" state="frozenSplit"/>
      <selection pane="bottomLeft" activeCell="AC796" sqref="AC796"/>
      <pageMargins left="0.7" right="0.7" top="0.75" bottom="0.75" header="0.3" footer="0.3"/>
      <pageSetup paperSize="8" scale="10" orientation="landscape"/>
    </customSheetView>
  </customSheetViews>
  <mergeCells count="11">
    <mergeCell ref="AK2:AL2"/>
    <mergeCell ref="AM2:AN2"/>
    <mergeCell ref="V2:Z2"/>
    <mergeCell ref="AA2:AE2"/>
    <mergeCell ref="AF1:AJ1"/>
    <mergeCell ref="AF2:AJ2"/>
    <mergeCell ref="AU1:AZ1"/>
    <mergeCell ref="AO1:AT1"/>
    <mergeCell ref="V1:AE1"/>
    <mergeCell ref="C1:G1"/>
    <mergeCell ref="H1:U1"/>
  </mergeCells>
  <phoneticPr fontId="0" type="noConversion"/>
  <pageMargins left="0.98" right="0.98" top="0.98" bottom="1.18" header="0.49" footer="0.59"/>
  <pageSetup paperSize="8" scale="10" orientation="landscape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7"/>
  <sheetViews>
    <sheetView showGridLines="0" zoomScale="150" zoomScaleNormal="150" zoomScalePageLayoutView="150" workbookViewId="0">
      <selection sqref="A1:H2"/>
    </sheetView>
  </sheetViews>
  <sheetFormatPr baseColWidth="10" defaultRowHeight="13"/>
  <sheetData>
    <row r="1" spans="1:3" ht="20">
      <c r="A1" s="252" t="s">
        <v>926</v>
      </c>
    </row>
    <row r="3" spans="1:3" ht="16">
      <c r="A3" s="251" t="s">
        <v>927</v>
      </c>
    </row>
    <row r="5" spans="1:3" ht="15">
      <c r="A5" t="s">
        <v>928</v>
      </c>
    </row>
    <row r="6" spans="1:3" ht="15">
      <c r="A6" t="s">
        <v>929</v>
      </c>
    </row>
    <row r="7" spans="1:3" ht="15">
      <c r="A7" t="s">
        <v>930</v>
      </c>
    </row>
    <row r="8" spans="1:3" ht="15">
      <c r="A8" t="s">
        <v>931</v>
      </c>
    </row>
    <row r="10" spans="1:3">
      <c r="A10" t="s">
        <v>936</v>
      </c>
    </row>
    <row r="13" spans="1:3" ht="16">
      <c r="A13" s="251" t="s">
        <v>932</v>
      </c>
    </row>
    <row r="15" spans="1:3" ht="15">
      <c r="A15" t="s">
        <v>933</v>
      </c>
      <c r="B15" s="220">
        <f>head!I25</f>
        <v>-100</v>
      </c>
      <c r="C15" t="s">
        <v>267</v>
      </c>
    </row>
    <row r="16" spans="1:3" ht="15">
      <c r="A16" t="s">
        <v>934</v>
      </c>
      <c r="B16" s="220">
        <f>head!I28</f>
        <v>-80</v>
      </c>
      <c r="C16" s="253" t="s">
        <v>76</v>
      </c>
    </row>
    <row r="17" spans="1:8" ht="15">
      <c r="A17" t="s">
        <v>935</v>
      </c>
      <c r="B17" s="220">
        <f>head!I35</f>
        <v>50</v>
      </c>
      <c r="C17" s="253" t="s">
        <v>76</v>
      </c>
    </row>
    <row r="19" spans="1:8">
      <c r="A19" t="s">
        <v>937</v>
      </c>
      <c r="C19" t="str">
        <f>head!H32</f>
        <v>parabolisch</v>
      </c>
    </row>
    <row r="21" spans="1:8">
      <c r="H21" t="s">
        <v>47</v>
      </c>
    </row>
    <row r="22" spans="1:8" ht="16">
      <c r="A22" s="251" t="s">
        <v>938</v>
      </c>
    </row>
    <row r="24" spans="1:8">
      <c r="A24" s="33" t="s">
        <v>953</v>
      </c>
    </row>
    <row r="25" spans="1:8" ht="15">
      <c r="A25" t="s">
        <v>939</v>
      </c>
      <c r="B25" s="220">
        <f>-B$15</f>
        <v>100</v>
      </c>
      <c r="C25" t="s">
        <v>942</v>
      </c>
      <c r="D25" t="s">
        <v>944</v>
      </c>
      <c r="E25" s="220">
        <f>-B25</f>
        <v>-100</v>
      </c>
      <c r="F25" t="s">
        <v>942</v>
      </c>
    </row>
    <row r="26" spans="1:8" ht="15">
      <c r="A26" t="s">
        <v>940</v>
      </c>
      <c r="B26" s="220">
        <f>B$16</f>
        <v>-80</v>
      </c>
      <c r="C26" t="s">
        <v>947</v>
      </c>
      <c r="D26" t="s">
        <v>945</v>
      </c>
      <c r="E26" s="220">
        <f>-B26</f>
        <v>80</v>
      </c>
      <c r="F26" t="s">
        <v>947</v>
      </c>
    </row>
    <row r="27" spans="1:8" ht="15">
      <c r="A27" t="s">
        <v>941</v>
      </c>
      <c r="B27" s="220">
        <f>IF(C$19="parabolisch",4*B$17,2*B$17)</f>
        <v>200</v>
      </c>
      <c r="C27" t="s">
        <v>947</v>
      </c>
      <c r="D27" t="s">
        <v>946</v>
      </c>
      <c r="E27" s="220">
        <f>B27</f>
        <v>200</v>
      </c>
      <c r="F27" t="s">
        <v>947</v>
      </c>
    </row>
    <row r="29" spans="1:8">
      <c r="A29" t="s">
        <v>948</v>
      </c>
      <c r="C29" s="254">
        <f>IF(SUM(B25:B27)&lt;=0,"--",IF(C$19="parabolisch",SUM(B25:B27)/(SUM(B25:B27)+SUM(E25:E27)),0.5))</f>
        <v>0.55000000000000004</v>
      </c>
      <c r="D29" t="s">
        <v>949</v>
      </c>
    </row>
    <row r="31" spans="1:8" ht="15">
      <c r="A31" t="s">
        <v>951</v>
      </c>
      <c r="B31" s="255">
        <f>IF(C29="--","--",IF(C$19="parabolisch",B27*C29-4*B$17*C29^2+(1-C29)*B$15+C29*B$16,(B$15+B$16)/2+B$17))</f>
        <v>-39.499999999999986</v>
      </c>
      <c r="C31" t="s">
        <v>267</v>
      </c>
    </row>
    <row r="32" spans="1:8" ht="15">
      <c r="A32" t="s">
        <v>950</v>
      </c>
      <c r="B32" s="220">
        <f>MAX(ABS(B$15),B31)</f>
        <v>100</v>
      </c>
      <c r="C32" s="253" t="s">
        <v>76</v>
      </c>
      <c r="D32" t="s">
        <v>47</v>
      </c>
    </row>
    <row r="33" spans="1:6" ht="15">
      <c r="A33" s="221" t="s">
        <v>921</v>
      </c>
      <c r="B33" s="220">
        <f>B32</f>
        <v>100</v>
      </c>
      <c r="C33" s="253" t="s">
        <v>76</v>
      </c>
      <c r="D33" t="s">
        <v>47</v>
      </c>
    </row>
    <row r="34" spans="1:6">
      <c r="A34" s="221"/>
      <c r="B34" s="220"/>
      <c r="C34" s="253"/>
    </row>
    <row r="36" spans="1:6">
      <c r="A36" s="33" t="s">
        <v>954</v>
      </c>
    </row>
    <row r="37" spans="1:6" ht="15">
      <c r="A37" t="s">
        <v>939</v>
      </c>
      <c r="B37" s="220">
        <f>-B$15</f>
        <v>100</v>
      </c>
      <c r="C37" t="s">
        <v>942</v>
      </c>
      <c r="D37" t="s">
        <v>944</v>
      </c>
      <c r="E37" s="220">
        <f>-B37</f>
        <v>-100</v>
      </c>
      <c r="F37" t="s">
        <v>942</v>
      </c>
    </row>
    <row r="38" spans="1:6" ht="15">
      <c r="A38" t="s">
        <v>940</v>
      </c>
      <c r="B38" s="220">
        <f>B$16</f>
        <v>-80</v>
      </c>
      <c r="C38" t="s">
        <v>947</v>
      </c>
      <c r="D38" t="s">
        <v>945</v>
      </c>
      <c r="E38" s="220">
        <f>-B38</f>
        <v>80</v>
      </c>
      <c r="F38" t="s">
        <v>947</v>
      </c>
    </row>
    <row r="39" spans="1:6" ht="15">
      <c r="A39" t="s">
        <v>941</v>
      </c>
      <c r="B39" s="220">
        <f>IF(C$19="parabolisch",4*B$17,2*B$17)</f>
        <v>200</v>
      </c>
      <c r="C39" t="s">
        <v>947</v>
      </c>
      <c r="D39" t="s">
        <v>946</v>
      </c>
      <c r="E39" s="220">
        <f>B39</f>
        <v>200</v>
      </c>
      <c r="F39" t="s">
        <v>947</v>
      </c>
    </row>
    <row r="41" spans="1:6">
      <c r="A41" t="s">
        <v>948</v>
      </c>
      <c r="C41" s="254">
        <f>IF(SUM(B37:B39)&lt;=0,"--",IF(C$19="parabolisch",SUM(B37:B39)/(SUM(B37:B39)+SUM(E37:E39)),0.5))</f>
        <v>0.55000000000000004</v>
      </c>
      <c r="D41" t="s">
        <v>949</v>
      </c>
    </row>
    <row r="43" spans="1:6" ht="15">
      <c r="A43" t="s">
        <v>951</v>
      </c>
      <c r="B43" s="255">
        <f>IF(C41="--","--",IF(C$19="parabolisch",B39*C41-4*B$17*C41^2+(1-C41)*B$15+C41*B$16,(B$15+B$16)/2+B$17))</f>
        <v>-39.499999999999986</v>
      </c>
      <c r="C43" t="s">
        <v>267</v>
      </c>
    </row>
    <row r="44" spans="1:6" ht="15">
      <c r="A44" t="s">
        <v>950</v>
      </c>
      <c r="B44" s="220">
        <f>MAX(ABS(B$15),B43)</f>
        <v>100</v>
      </c>
      <c r="C44" s="253" t="s">
        <v>76</v>
      </c>
      <c r="D44" t="s">
        <v>47</v>
      </c>
    </row>
    <row r="45" spans="1:6" ht="15">
      <c r="A45" s="221" t="s">
        <v>921</v>
      </c>
      <c r="B45" s="220">
        <f>B44+ABS(B16)</f>
        <v>180</v>
      </c>
      <c r="C45" s="253" t="s">
        <v>76</v>
      </c>
      <c r="D45" t="s">
        <v>47</v>
      </c>
    </row>
    <row r="48" spans="1:6">
      <c r="A48" s="33" t="s">
        <v>943</v>
      </c>
    </row>
    <row r="49" spans="1:6" ht="15">
      <c r="A49" t="s">
        <v>939</v>
      </c>
      <c r="B49" s="220">
        <f>-B$15</f>
        <v>100</v>
      </c>
      <c r="C49" t="s">
        <v>942</v>
      </c>
      <c r="D49" t="s">
        <v>944</v>
      </c>
      <c r="E49" s="220">
        <f>-B49</f>
        <v>-100</v>
      </c>
      <c r="F49" t="s">
        <v>942</v>
      </c>
    </row>
    <row r="50" spans="1:6" ht="15">
      <c r="A50" t="s">
        <v>940</v>
      </c>
      <c r="B50" s="220">
        <f>B$16</f>
        <v>-80</v>
      </c>
      <c r="C50" t="s">
        <v>947</v>
      </c>
      <c r="D50" t="s">
        <v>945</v>
      </c>
      <c r="E50" s="220">
        <f>-B50</f>
        <v>80</v>
      </c>
      <c r="F50" t="s">
        <v>947</v>
      </c>
    </row>
    <row r="51" spans="1:6" ht="15">
      <c r="A51" t="s">
        <v>941</v>
      </c>
      <c r="B51" s="220">
        <f>IF(C$19="parabolisch",4*B$17,2*B$17)</f>
        <v>200</v>
      </c>
      <c r="C51" t="s">
        <v>947</v>
      </c>
      <c r="D51" t="s">
        <v>946</v>
      </c>
      <c r="E51" s="220">
        <f>B51</f>
        <v>200</v>
      </c>
      <c r="F51" t="s">
        <v>947</v>
      </c>
    </row>
    <row r="53" spans="1:6">
      <c r="A53" t="s">
        <v>948</v>
      </c>
      <c r="C53" s="254">
        <f>IF(SUM(E49:E51)&lt;=0,"--",IF(C$19="parabolisch",SUM(B49:B51)/(SUM(B49:B51)+SUM(E49:E51)),0.5))</f>
        <v>0.55000000000000004</v>
      </c>
      <c r="D53" t="s">
        <v>949</v>
      </c>
    </row>
    <row r="55" spans="1:6" ht="15">
      <c r="A55" t="s">
        <v>951</v>
      </c>
      <c r="B55" s="255">
        <f>IF(C53="--","--",IF(C$19="parabolisch",B51*C53-4*B$17*C53^2+(1-C53)*B$15+C53*B$16,(B$15+B$16)/2+B$17))</f>
        <v>-39.499999999999986</v>
      </c>
      <c r="C55" t="s">
        <v>267</v>
      </c>
    </row>
    <row r="56" spans="1:6" ht="15">
      <c r="A56" t="s">
        <v>950</v>
      </c>
      <c r="B56" s="220">
        <f>MAX(ABS(B$15),B55)</f>
        <v>100</v>
      </c>
      <c r="C56" s="253" t="s">
        <v>76</v>
      </c>
      <c r="D56" t="s">
        <v>47</v>
      </c>
    </row>
    <row r="57" spans="1:6" ht="15">
      <c r="A57" s="221" t="s">
        <v>921</v>
      </c>
      <c r="B57" s="220">
        <f>ABS(B$15)+MAX(B$16,B55)</f>
        <v>60.500000000000014</v>
      </c>
      <c r="C57" s="253" t="s">
        <v>76</v>
      </c>
      <c r="D57" t="s">
        <v>47</v>
      </c>
    </row>
    <row r="60" spans="1:6">
      <c r="A60" s="33" t="s">
        <v>952</v>
      </c>
    </row>
    <row r="61" spans="1:6" ht="15">
      <c r="A61" t="s">
        <v>939</v>
      </c>
      <c r="B61" s="220">
        <f>-B$15</f>
        <v>100</v>
      </c>
      <c r="C61" t="s">
        <v>942</v>
      </c>
      <c r="D61" t="s">
        <v>944</v>
      </c>
      <c r="E61" s="220">
        <f>-B61</f>
        <v>-100</v>
      </c>
      <c r="F61" t="s">
        <v>942</v>
      </c>
    </row>
    <row r="62" spans="1:6" ht="15">
      <c r="A62" t="s">
        <v>940</v>
      </c>
      <c r="B62" s="220">
        <f>B$16</f>
        <v>-80</v>
      </c>
      <c r="C62" t="s">
        <v>947</v>
      </c>
      <c r="D62" t="s">
        <v>945</v>
      </c>
      <c r="E62" s="220">
        <f>-B62</f>
        <v>80</v>
      </c>
      <c r="F62" t="s">
        <v>947</v>
      </c>
    </row>
    <row r="63" spans="1:6" ht="15">
      <c r="A63" t="s">
        <v>941</v>
      </c>
      <c r="B63" s="220">
        <f>IF(C$19="parabolisch",4*B$17,2*B$17)</f>
        <v>200</v>
      </c>
      <c r="C63" t="s">
        <v>947</v>
      </c>
      <c r="D63" t="s">
        <v>946</v>
      </c>
      <c r="E63" s="220">
        <f>B63</f>
        <v>200</v>
      </c>
      <c r="F63" t="s">
        <v>947</v>
      </c>
    </row>
    <row r="65" spans="1:5">
      <c r="A65" t="s">
        <v>948</v>
      </c>
      <c r="C65" s="254">
        <f>IF(SUM(E61:E63)&lt;=0,"--",IF(C$19="parabolisch",SUM(B61:B63)/(SUM(B61:B63)+SUM(E61:E63)),0.5))</f>
        <v>0.55000000000000004</v>
      </c>
      <c r="D65" t="s">
        <v>949</v>
      </c>
    </row>
    <row r="67" spans="1:5" ht="15">
      <c r="A67" t="s">
        <v>951</v>
      </c>
      <c r="B67" s="255">
        <f>IF(C65="--","--",IF(C$19="parabolisch",B63*C65-4*B$17*C65^2+(1-C65)*B$15+C65*B$16,(B$15+B$16)/2+B$17))</f>
        <v>-39.499999999999986</v>
      </c>
      <c r="C67" t="s">
        <v>267</v>
      </c>
      <c r="E67" s="255"/>
    </row>
    <row r="68" spans="1:5" ht="15">
      <c r="A68" t="s">
        <v>950</v>
      </c>
      <c r="B68" s="220">
        <f>MAX(ABS(B$15),B67)</f>
        <v>100</v>
      </c>
      <c r="C68" s="253" t="s">
        <v>76</v>
      </c>
      <c r="D68" t="s">
        <v>47</v>
      </c>
    </row>
    <row r="69" spans="1:5" ht="15">
      <c r="A69" s="221" t="s">
        <v>921</v>
      </c>
      <c r="B69" s="220">
        <f>ABS(B$15)+MAX(0,B67)</f>
        <v>100</v>
      </c>
      <c r="C69" s="253" t="s">
        <v>76</v>
      </c>
      <c r="D69" t="s">
        <v>47</v>
      </c>
    </row>
    <row r="72" spans="1:5" ht="16">
      <c r="A72" s="251" t="s">
        <v>955</v>
      </c>
    </row>
    <row r="74" spans="1:5" ht="15">
      <c r="A74" t="s">
        <v>951</v>
      </c>
      <c r="B74" s="255">
        <f>IF(B$15&lt;0,IF(B$16&lt;0,B67,B55),IF(B$16&lt;0,B43,B31))</f>
        <v>-39.499999999999986</v>
      </c>
      <c r="C74" t="s">
        <v>267</v>
      </c>
    </row>
    <row r="75" spans="1:5" ht="15">
      <c r="A75" t="s">
        <v>950</v>
      </c>
      <c r="B75" s="255">
        <f>IF(B$15&lt;0,IF(B$16&lt;0,B68,B56),IF(B$16&lt;0,B44,B32))</f>
        <v>100</v>
      </c>
      <c r="C75" s="253" t="s">
        <v>76</v>
      </c>
    </row>
    <row r="76" spans="1:5" ht="15">
      <c r="A76" s="221" t="s">
        <v>921</v>
      </c>
      <c r="B76" s="255">
        <f>IF(B$15&lt;0,IF(B$16&lt;0,B69,B57),IF(B$16&lt;0,B45,B33))</f>
        <v>100</v>
      </c>
      <c r="C76" s="253" t="s">
        <v>76</v>
      </c>
    </row>
    <row r="77" spans="1:5">
      <c r="A77" s="280" t="s">
        <v>1059</v>
      </c>
      <c r="B77" s="374">
        <f>ROUND(IF(B$15&lt;0,IF(B$16&lt;0,C65,C53),IF(B$16&lt;0,C41,C29)),3)</f>
        <v>0.55000000000000004</v>
      </c>
      <c r="C77" t="s">
        <v>1060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77"/>
  <sheetViews>
    <sheetView showGridLines="0" zoomScale="150" zoomScaleNormal="150" zoomScalePageLayoutView="150" workbookViewId="0">
      <selection sqref="A1:H2"/>
    </sheetView>
  </sheetViews>
  <sheetFormatPr baseColWidth="10" defaultRowHeight="13"/>
  <sheetData>
    <row r="1" spans="1:3" ht="20">
      <c r="A1" s="252" t="s">
        <v>957</v>
      </c>
    </row>
    <row r="3" spans="1:3" ht="16">
      <c r="A3" s="251" t="s">
        <v>927</v>
      </c>
    </row>
    <row r="5" spans="1:3" ht="15">
      <c r="A5" t="s">
        <v>958</v>
      </c>
    </row>
    <row r="6" spans="1:3" ht="15">
      <c r="A6" t="s">
        <v>959</v>
      </c>
    </row>
    <row r="7" spans="1:3" ht="15">
      <c r="A7" t="s">
        <v>961</v>
      </c>
    </row>
    <row r="8" spans="1:3" ht="15">
      <c r="A8" t="s">
        <v>960</v>
      </c>
    </row>
    <row r="10" spans="1:3">
      <c r="A10" t="s">
        <v>936</v>
      </c>
    </row>
    <row r="13" spans="1:3" ht="16">
      <c r="A13" s="251" t="s">
        <v>932</v>
      </c>
    </row>
    <row r="15" spans="1:3" ht="15">
      <c r="A15" t="s">
        <v>962</v>
      </c>
      <c r="B15" s="220">
        <f>head!I44</f>
        <v>50</v>
      </c>
      <c r="C15" t="s">
        <v>267</v>
      </c>
    </row>
    <row r="16" spans="1:3" ht="15">
      <c r="A16" t="s">
        <v>963</v>
      </c>
      <c r="B16" s="220">
        <f>head!I47</f>
        <v>0</v>
      </c>
      <c r="C16" s="253" t="s">
        <v>76</v>
      </c>
    </row>
    <row r="17" spans="1:8" ht="15">
      <c r="A17" t="s">
        <v>964</v>
      </c>
      <c r="B17" s="220">
        <f>head!I56</f>
        <v>0</v>
      </c>
      <c r="C17" s="253" t="s">
        <v>76</v>
      </c>
    </row>
    <row r="19" spans="1:8">
      <c r="A19" t="s">
        <v>937</v>
      </c>
      <c r="C19" t="str">
        <f>head!H51</f>
        <v>parabolisch</v>
      </c>
    </row>
    <row r="21" spans="1:8">
      <c r="H21" t="s">
        <v>47</v>
      </c>
    </row>
    <row r="22" spans="1:8" ht="16">
      <c r="A22" s="251" t="s">
        <v>938</v>
      </c>
    </row>
    <row r="24" spans="1:8">
      <c r="A24" s="33" t="s">
        <v>953</v>
      </c>
    </row>
    <row r="25" spans="1:8" ht="15">
      <c r="A25" t="s">
        <v>965</v>
      </c>
      <c r="B25" s="220">
        <f>-B$15</f>
        <v>-50</v>
      </c>
      <c r="C25" t="s">
        <v>942</v>
      </c>
      <c r="D25" t="s">
        <v>968</v>
      </c>
      <c r="E25" s="220">
        <f>-B25</f>
        <v>50</v>
      </c>
      <c r="F25" t="s">
        <v>942</v>
      </c>
    </row>
    <row r="26" spans="1:8" ht="15">
      <c r="A26" t="s">
        <v>966</v>
      </c>
      <c r="B26" s="220">
        <f>B$16</f>
        <v>0</v>
      </c>
      <c r="C26" t="s">
        <v>947</v>
      </c>
      <c r="D26" t="s">
        <v>969</v>
      </c>
      <c r="E26" s="220">
        <f>-B26</f>
        <v>0</v>
      </c>
      <c r="F26" t="s">
        <v>947</v>
      </c>
    </row>
    <row r="27" spans="1:8" ht="15">
      <c r="A27" t="s">
        <v>967</v>
      </c>
      <c r="B27" s="220">
        <f>IF(C$19="parabolisch",4*B$17,2*B$17)</f>
        <v>0</v>
      </c>
      <c r="C27" t="s">
        <v>947</v>
      </c>
      <c r="D27" t="s">
        <v>970</v>
      </c>
      <c r="E27" s="220">
        <f>B27</f>
        <v>0</v>
      </c>
      <c r="F27" t="s">
        <v>947</v>
      </c>
    </row>
    <row r="29" spans="1:8">
      <c r="A29" t="s">
        <v>948</v>
      </c>
      <c r="C29" s="254" t="str">
        <f>IF(SUM(B25:B27)&lt;=0,"--",IF(C$19="parabolisch",SUM(B25:B27)/(SUM(B25:B27)+SUM(E25:E27)),0.5))</f>
        <v>--</v>
      </c>
      <c r="D29" t="s">
        <v>949</v>
      </c>
    </row>
    <row r="31" spans="1:8" ht="15">
      <c r="A31" t="s">
        <v>971</v>
      </c>
      <c r="B31" s="255" t="str">
        <f>IF(C29="--","--",IF(C$19="parabolisch",B27*C29-4*B$17*C29^2+(1-C29)*B$15+C29*B$16,(B$15+B$16)/2+B$17))</f>
        <v>--</v>
      </c>
      <c r="C31" t="s">
        <v>267</v>
      </c>
    </row>
    <row r="32" spans="1:8" ht="15">
      <c r="A32" t="s">
        <v>972</v>
      </c>
      <c r="B32" s="220">
        <f>MAX(ABS(B$15),B31)</f>
        <v>50</v>
      </c>
      <c r="C32" s="253" t="s">
        <v>76</v>
      </c>
      <c r="D32" t="s">
        <v>47</v>
      </c>
    </row>
    <row r="33" spans="1:6" ht="15">
      <c r="A33" s="221" t="s">
        <v>920</v>
      </c>
      <c r="B33" s="220">
        <f>B32</f>
        <v>50</v>
      </c>
      <c r="C33" s="253" t="s">
        <v>76</v>
      </c>
      <c r="D33" t="s">
        <v>47</v>
      </c>
    </row>
    <row r="34" spans="1:6">
      <c r="A34" s="221"/>
      <c r="B34" s="220"/>
      <c r="C34" s="253"/>
    </row>
    <row r="36" spans="1:6">
      <c r="A36" s="33" t="s">
        <v>954</v>
      </c>
    </row>
    <row r="37" spans="1:6" ht="15">
      <c r="A37" t="s">
        <v>965</v>
      </c>
      <c r="B37" s="220">
        <f>-B$15</f>
        <v>-50</v>
      </c>
      <c r="C37" t="s">
        <v>942</v>
      </c>
      <c r="D37" t="s">
        <v>968</v>
      </c>
      <c r="E37" s="220">
        <f>-B37</f>
        <v>50</v>
      </c>
      <c r="F37" t="s">
        <v>942</v>
      </c>
    </row>
    <row r="38" spans="1:6" ht="15">
      <c r="A38" t="s">
        <v>966</v>
      </c>
      <c r="B38" s="220">
        <f>B$16</f>
        <v>0</v>
      </c>
      <c r="C38" t="s">
        <v>947</v>
      </c>
      <c r="D38" t="s">
        <v>969</v>
      </c>
      <c r="E38" s="220">
        <f>-B38</f>
        <v>0</v>
      </c>
      <c r="F38" t="s">
        <v>947</v>
      </c>
    </row>
    <row r="39" spans="1:6" ht="15">
      <c r="A39" t="s">
        <v>967</v>
      </c>
      <c r="B39" s="220">
        <f>IF(C$19="parabolisch",4*B$17,2*B$17)</f>
        <v>0</v>
      </c>
      <c r="C39" t="s">
        <v>947</v>
      </c>
      <c r="D39" t="s">
        <v>970</v>
      </c>
      <c r="E39" s="220">
        <f>B39</f>
        <v>0</v>
      </c>
      <c r="F39" t="s">
        <v>947</v>
      </c>
    </row>
    <row r="41" spans="1:6">
      <c r="A41" t="s">
        <v>948</v>
      </c>
      <c r="C41" s="254" t="str">
        <f>IF(SUM(B37:B39)&lt;=0,"--",IF(C$19="parabolisch",SUM(B37:B39)/(SUM(B37:B39)+SUM(E37:E39)),0.5))</f>
        <v>--</v>
      </c>
      <c r="D41" t="s">
        <v>949</v>
      </c>
    </row>
    <row r="43" spans="1:6" ht="15">
      <c r="A43" t="s">
        <v>971</v>
      </c>
      <c r="B43" s="255" t="str">
        <f>IF(C41="--","--",IF(C$19="parabolisch",B39*C41-4*B$17*C41^2+(1-C41)*B$15+C41*B$16,(B$15+B$16)/2+B$17))</f>
        <v>--</v>
      </c>
      <c r="C43" t="s">
        <v>267</v>
      </c>
    </row>
    <row r="44" spans="1:6" ht="15">
      <c r="A44" t="s">
        <v>972</v>
      </c>
      <c r="B44" s="220">
        <f>MAX(ABS(B$15),B43)</f>
        <v>50</v>
      </c>
      <c r="C44" s="253" t="s">
        <v>76</v>
      </c>
      <c r="D44" t="s">
        <v>47</v>
      </c>
    </row>
    <row r="45" spans="1:6" ht="15">
      <c r="A45" s="221" t="s">
        <v>920</v>
      </c>
      <c r="B45" s="220">
        <f>B44+ABS(B16)</f>
        <v>50</v>
      </c>
      <c r="C45" s="253" t="s">
        <v>76</v>
      </c>
      <c r="D45" t="s">
        <v>47</v>
      </c>
    </row>
    <row r="48" spans="1:6">
      <c r="A48" s="33" t="s">
        <v>943</v>
      </c>
    </row>
    <row r="49" spans="1:6" ht="15">
      <c r="A49" t="s">
        <v>965</v>
      </c>
      <c r="B49" s="220">
        <f>-B$15</f>
        <v>-50</v>
      </c>
      <c r="C49" t="s">
        <v>942</v>
      </c>
      <c r="D49" t="s">
        <v>968</v>
      </c>
      <c r="E49" s="220">
        <f>-B49</f>
        <v>50</v>
      </c>
      <c r="F49" t="s">
        <v>942</v>
      </c>
    </row>
    <row r="50" spans="1:6" ht="15">
      <c r="A50" t="s">
        <v>966</v>
      </c>
      <c r="B50" s="220">
        <f>B$16</f>
        <v>0</v>
      </c>
      <c r="C50" t="s">
        <v>947</v>
      </c>
      <c r="D50" t="s">
        <v>969</v>
      </c>
      <c r="E50" s="220">
        <f>-B50</f>
        <v>0</v>
      </c>
      <c r="F50" t="s">
        <v>947</v>
      </c>
    </row>
    <row r="51" spans="1:6" ht="15">
      <c r="A51" t="s">
        <v>967</v>
      </c>
      <c r="B51" s="220">
        <f>IF(C$19="parabolisch",4*B$17,2*B$17)</f>
        <v>0</v>
      </c>
      <c r="C51" t="s">
        <v>947</v>
      </c>
      <c r="D51" t="s">
        <v>970</v>
      </c>
      <c r="E51" s="220">
        <f>B51</f>
        <v>0</v>
      </c>
      <c r="F51" t="s">
        <v>947</v>
      </c>
    </row>
    <row r="53" spans="1:6">
      <c r="A53" t="s">
        <v>948</v>
      </c>
      <c r="C53" s="254" t="e">
        <f>IF(SUM(E49:E51)&lt;=0,"--",IF(C$19="parabolisch",SUM(B49:B51)/(SUM(B49:B51)+SUM(E49:E51)),0.5))</f>
        <v>#DIV/0!</v>
      </c>
      <c r="D53" t="s">
        <v>949</v>
      </c>
    </row>
    <row r="55" spans="1:6" ht="15">
      <c r="A55" t="s">
        <v>971</v>
      </c>
      <c r="B55" s="255" t="e">
        <f>IF(C53="--","--",IF(C$19="parabolisch",B51*C53-4*B$17*C53^2+(1-C53)*B$15+C53*B$16,(B$15+B$16)/2+B$17))</f>
        <v>#DIV/0!</v>
      </c>
      <c r="C55" t="s">
        <v>267</v>
      </c>
    </row>
    <row r="56" spans="1:6" ht="15">
      <c r="A56" t="s">
        <v>972</v>
      </c>
      <c r="B56" s="220" t="e">
        <f>MAX(ABS(B$15),B55)</f>
        <v>#DIV/0!</v>
      </c>
      <c r="C56" s="253" t="s">
        <v>76</v>
      </c>
      <c r="D56" t="s">
        <v>47</v>
      </c>
    </row>
    <row r="57" spans="1:6" ht="15">
      <c r="A57" s="221" t="s">
        <v>920</v>
      </c>
      <c r="B57" s="220" t="e">
        <f>ABS(B$15)+MAX(B$16,B55)</f>
        <v>#DIV/0!</v>
      </c>
      <c r="C57" s="253" t="s">
        <v>76</v>
      </c>
      <c r="D57" t="s">
        <v>47</v>
      </c>
    </row>
    <row r="60" spans="1:6">
      <c r="A60" s="33" t="s">
        <v>952</v>
      </c>
    </row>
    <row r="61" spans="1:6" ht="15">
      <c r="A61" t="s">
        <v>965</v>
      </c>
      <c r="B61" s="220">
        <f>-B$15</f>
        <v>-50</v>
      </c>
      <c r="C61" t="s">
        <v>942</v>
      </c>
      <c r="D61" t="s">
        <v>968</v>
      </c>
      <c r="E61" s="220">
        <f>-B61</f>
        <v>50</v>
      </c>
      <c r="F61" t="s">
        <v>942</v>
      </c>
    </row>
    <row r="62" spans="1:6" ht="15">
      <c r="A62" t="s">
        <v>966</v>
      </c>
      <c r="B62" s="220">
        <f>B$16</f>
        <v>0</v>
      </c>
      <c r="C62" t="s">
        <v>947</v>
      </c>
      <c r="D62" t="s">
        <v>969</v>
      </c>
      <c r="E62" s="220">
        <f>-B62</f>
        <v>0</v>
      </c>
      <c r="F62" t="s">
        <v>947</v>
      </c>
    </row>
    <row r="63" spans="1:6" ht="15">
      <c r="A63" t="s">
        <v>967</v>
      </c>
      <c r="B63" s="220">
        <f>IF(C$19="parabolisch",4*B$17,2*B$17)</f>
        <v>0</v>
      </c>
      <c r="C63" t="s">
        <v>947</v>
      </c>
      <c r="D63" t="s">
        <v>970</v>
      </c>
      <c r="E63" s="220">
        <f>B63</f>
        <v>0</v>
      </c>
      <c r="F63" t="s">
        <v>947</v>
      </c>
    </row>
    <row r="65" spans="1:5">
      <c r="A65" t="s">
        <v>948</v>
      </c>
      <c r="C65" s="254" t="e">
        <f>IF(SUM(E61:E63)&lt;=0,"--",IF(C$19="parabolisch",SUM(B61:B63)/(SUM(B61:B63)+SUM(E61:E63)),0.5))</f>
        <v>#DIV/0!</v>
      </c>
      <c r="D65" t="s">
        <v>949</v>
      </c>
    </row>
    <row r="67" spans="1:5" ht="15">
      <c r="A67" t="s">
        <v>971</v>
      </c>
      <c r="B67" s="255" t="e">
        <f>IF(C65="--","--",IF(C$19="parabolisch",B63*C65-4*B$17*C65^2+(1-C65)*B$15+C65*B$16,(B$15+B$16)/2+B$17))</f>
        <v>#DIV/0!</v>
      </c>
      <c r="C67" t="s">
        <v>267</v>
      </c>
      <c r="E67" s="255"/>
    </row>
    <row r="68" spans="1:5" ht="15">
      <c r="A68" t="s">
        <v>972</v>
      </c>
      <c r="B68" s="220" t="e">
        <f>MAX(ABS(B$15),B67)</f>
        <v>#DIV/0!</v>
      </c>
      <c r="C68" s="253" t="s">
        <v>76</v>
      </c>
      <c r="D68" t="s">
        <v>47</v>
      </c>
    </row>
    <row r="69" spans="1:5" ht="15">
      <c r="A69" s="221" t="s">
        <v>920</v>
      </c>
      <c r="B69" s="220" t="e">
        <f>ABS(B$15)+MAX(0,B67)</f>
        <v>#DIV/0!</v>
      </c>
      <c r="C69" s="253" t="s">
        <v>76</v>
      </c>
      <c r="D69" t="s">
        <v>47</v>
      </c>
    </row>
    <row r="72" spans="1:5" ht="16">
      <c r="A72" s="251" t="s">
        <v>955</v>
      </c>
    </row>
    <row r="74" spans="1:5" ht="15">
      <c r="A74" t="s">
        <v>971</v>
      </c>
      <c r="B74" s="255" t="str">
        <f>IF(B$15&lt;0,IF(B$16&lt;0,B67,B55),IF(B$16&lt;0,B43,B31))</f>
        <v>--</v>
      </c>
      <c r="C74" t="s">
        <v>267</v>
      </c>
    </row>
    <row r="75" spans="1:5" ht="15">
      <c r="A75" t="s">
        <v>972</v>
      </c>
      <c r="B75" s="255">
        <f>IF(B$15&lt;0,IF(B$16&lt;0,B68,B56),IF(B$16&lt;0,B44,B32))</f>
        <v>50</v>
      </c>
      <c r="C75" s="253" t="s">
        <v>76</v>
      </c>
    </row>
    <row r="76" spans="1:5" ht="15">
      <c r="A76" s="221" t="s">
        <v>920</v>
      </c>
      <c r="B76" s="255">
        <f>IF(B$15&lt;0,IF(B$16&lt;0,B69,B57),IF(B$16&lt;0,B45,B33))</f>
        <v>50</v>
      </c>
      <c r="C76" s="253" t="s">
        <v>76</v>
      </c>
    </row>
    <row r="77" spans="1:5">
      <c r="A77" s="280" t="s">
        <v>1059</v>
      </c>
      <c r="B77" s="373" t="str">
        <f>IF(B$15&lt;0,IF(B$16&lt;0,C65,C53),IF(B$16&lt;0,C41,C29))</f>
        <v>--</v>
      </c>
      <c r="C77" t="s">
        <v>1060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04"/>
  <sheetViews>
    <sheetView showGridLines="0" zoomScale="150" zoomScaleNormal="150" zoomScalePageLayoutView="150" workbookViewId="0">
      <selection sqref="A1:H2"/>
    </sheetView>
  </sheetViews>
  <sheetFormatPr baseColWidth="10" defaultRowHeight="14" customHeight="1"/>
  <cols>
    <col min="2" max="2" width="12" bestFit="1" customWidth="1"/>
  </cols>
  <sheetData>
    <row r="1" spans="1:6" ht="18">
      <c r="A1" s="252" t="s">
        <v>1046</v>
      </c>
    </row>
    <row r="3" spans="1:6" ht="16" customHeight="1">
      <c r="A3" s="251" t="s">
        <v>973</v>
      </c>
    </row>
    <row r="4" spans="1:6" ht="14" customHeight="1">
      <c r="A4" t="s">
        <v>47</v>
      </c>
    </row>
    <row r="5" spans="1:6" ht="14" customHeight="1">
      <c r="A5" t="s">
        <v>974</v>
      </c>
      <c r="B5" s="223" t="str">
        <f>head!C86</f>
        <v>CF CHS 177,8 x 20</v>
      </c>
    </row>
    <row r="6" spans="1:6" ht="14" customHeight="1">
      <c r="A6" t="s">
        <v>975</v>
      </c>
      <c r="B6" s="223" t="str">
        <f>head!F82</f>
        <v>S355</v>
      </c>
      <c r="C6" s="209" t="s">
        <v>976</v>
      </c>
      <c r="D6">
        <f>VLOOKUP('Doorsnedeklasse wals'!B6,head!L1:M5,2)</f>
        <v>355</v>
      </c>
      <c r="E6" t="s">
        <v>977</v>
      </c>
    </row>
    <row r="8" spans="1:6" ht="14" customHeight="1">
      <c r="A8" t="s">
        <v>979</v>
      </c>
      <c r="B8" s="258">
        <f>VLOOKUP($B$5,DBASE,3,FALSE)</f>
        <v>177.8</v>
      </c>
      <c r="C8" t="s">
        <v>172</v>
      </c>
      <c r="D8" s="209" t="s">
        <v>982</v>
      </c>
      <c r="E8" s="259">
        <f>VLOOKUP($B$5,DBASE,13,FALSE)</f>
        <v>352719.97860017145</v>
      </c>
      <c r="F8" t="s">
        <v>18</v>
      </c>
    </row>
    <row r="9" spans="1:6" ht="14" customHeight="1">
      <c r="A9" t="s">
        <v>978</v>
      </c>
      <c r="B9" s="258">
        <f>VLOOKUP($B$5,DBASE,4,FALSE)</f>
        <v>0</v>
      </c>
      <c r="C9" t="s">
        <v>172</v>
      </c>
      <c r="D9" s="209" t="s">
        <v>983</v>
      </c>
      <c r="E9" s="259">
        <f>VLOOKUP($B$5,DBASE,14,FALSE)</f>
        <v>500683.46666666679</v>
      </c>
      <c r="F9" t="s">
        <v>18</v>
      </c>
    </row>
    <row r="10" spans="1:6" ht="14" customHeight="1">
      <c r="A10" t="s">
        <v>984</v>
      </c>
      <c r="B10" s="258">
        <f>VLOOKUP($B$5,DBASE,6,FALSE)</f>
        <v>0</v>
      </c>
      <c r="C10" t="s">
        <v>172</v>
      </c>
      <c r="D10" s="209" t="s">
        <v>981</v>
      </c>
      <c r="E10" s="259">
        <f>VLOOKUP($B$5,DBASE,10,FALSE)</f>
        <v>9914.8664147293875</v>
      </c>
      <c r="F10" t="s">
        <v>171</v>
      </c>
    </row>
    <row r="11" spans="1:6" ht="14" customHeight="1">
      <c r="A11" t="s">
        <v>985</v>
      </c>
      <c r="B11" s="258" t="str">
        <f>VLOOKUP($B$5,DBASE,5,FALSE)</f>
        <v>20</v>
      </c>
      <c r="C11" t="s">
        <v>172</v>
      </c>
    </row>
    <row r="12" spans="1:6" ht="14" customHeight="1">
      <c r="A12" t="s">
        <v>980</v>
      </c>
      <c r="B12" s="258">
        <f>VLOOKUP($B$5,DBASE,7,FALSE)</f>
        <v>0</v>
      </c>
      <c r="C12" t="s">
        <v>172</v>
      </c>
    </row>
    <row r="15" spans="1:6" ht="16" customHeight="1">
      <c r="A15" s="251" t="s">
        <v>986</v>
      </c>
    </row>
    <row r="16" spans="1:6" ht="14" customHeight="1">
      <c r="A16" t="s">
        <v>47</v>
      </c>
    </row>
    <row r="17" spans="1:6" ht="14" customHeight="1">
      <c r="A17" t="s">
        <v>987</v>
      </c>
      <c r="B17" s="220">
        <f>head!I40</f>
        <v>100</v>
      </c>
      <c r="C17" t="s">
        <v>267</v>
      </c>
      <c r="D17" t="s">
        <v>1017</v>
      </c>
      <c r="E17" s="220">
        <f>head!I21</f>
        <v>500</v>
      </c>
      <c r="F17" t="s">
        <v>181</v>
      </c>
    </row>
    <row r="18" spans="1:6" ht="14" customHeight="1">
      <c r="A18" t="s">
        <v>988</v>
      </c>
      <c r="B18" s="220">
        <f>head!I61</f>
        <v>50</v>
      </c>
      <c r="C18" t="s">
        <v>267</v>
      </c>
    </row>
    <row r="19" spans="1:6" ht="14" customHeight="1">
      <c r="A19" t="s">
        <v>47</v>
      </c>
    </row>
    <row r="21" spans="1:6" ht="16" customHeight="1">
      <c r="A21" s="251" t="s">
        <v>998</v>
      </c>
    </row>
    <row r="23" spans="1:6" ht="14" customHeight="1">
      <c r="A23" s="33" t="s">
        <v>989</v>
      </c>
    </row>
    <row r="24" spans="1:6" ht="14" customHeight="1">
      <c r="A24" t="s">
        <v>1004</v>
      </c>
    </row>
    <row r="25" spans="1:6" ht="14" customHeight="1">
      <c r="A25" t="s">
        <v>990</v>
      </c>
      <c r="B25" s="220" t="e">
        <f>B18*1000000/(0.5*B10*B9^2)</f>
        <v>#DIV/0!</v>
      </c>
      <c r="C25" t="s">
        <v>977</v>
      </c>
    </row>
    <row r="27" spans="1:6" ht="14" customHeight="1">
      <c r="A27" s="33" t="s">
        <v>991</v>
      </c>
    </row>
    <row r="28" spans="1:6" ht="14" customHeight="1">
      <c r="A28" t="s">
        <v>992</v>
      </c>
      <c r="C28" s="261" t="e">
        <f>0.5*(B9-B11-2*B12)/B10</f>
        <v>#DIV/0!</v>
      </c>
      <c r="D28" s="261" t="s">
        <v>47</v>
      </c>
    </row>
    <row r="30" spans="1:6" ht="14" customHeight="1">
      <c r="A30" t="s">
        <v>993</v>
      </c>
    </row>
    <row r="31" spans="1:6" ht="14" customHeight="1">
      <c r="A31" t="s">
        <v>1001</v>
      </c>
      <c r="C31" s="223" t="e">
        <f>9*(235/B25)^0.5*0.85</f>
        <v>#DIV/0!</v>
      </c>
    </row>
    <row r="33" spans="1:11" ht="14" customHeight="1">
      <c r="A33" t="s">
        <v>995</v>
      </c>
    </row>
    <row r="34" spans="1:11" ht="14" customHeight="1">
      <c r="A34" t="s">
        <v>1002</v>
      </c>
      <c r="C34" s="223" t="e">
        <f>10*(235/B25)^0.5*0.85</f>
        <v>#DIV/0!</v>
      </c>
    </row>
    <row r="36" spans="1:11" ht="14" customHeight="1">
      <c r="A36" t="s">
        <v>996</v>
      </c>
    </row>
    <row r="37" spans="1:11" ht="14" customHeight="1">
      <c r="A37" t="s">
        <v>1003</v>
      </c>
      <c r="C37" s="223" t="e">
        <f>14*(235/B25)^0.5*0.85</f>
        <v>#DIV/0!</v>
      </c>
    </row>
    <row r="39" spans="1:11" ht="14" customHeight="1">
      <c r="A39" s="33" t="s">
        <v>994</v>
      </c>
      <c r="C39" s="260" t="e">
        <f>IF(B18=0,1,IF(C28&lt;=C31,1,IF(C28&lt;=C34,2,IF(C28&lt;=C37,3,4))))</f>
        <v>#DIV/0!</v>
      </c>
    </row>
    <row r="42" spans="1:11" ht="16" customHeight="1">
      <c r="A42" s="251" t="s">
        <v>997</v>
      </c>
    </row>
    <row r="44" spans="1:11" ht="14" customHeight="1">
      <c r="A44" s="33" t="s">
        <v>1009</v>
      </c>
      <c r="H44" s="263" t="s">
        <v>1022</v>
      </c>
      <c r="I44" s="263" t="s">
        <v>46</v>
      </c>
      <c r="J44" s="263" t="s">
        <v>1019</v>
      </c>
      <c r="K44" s="263" t="s">
        <v>183</v>
      </c>
    </row>
    <row r="45" spans="1:11" ht="14" customHeight="1">
      <c r="A45" t="s">
        <v>1010</v>
      </c>
      <c r="B45" s="266">
        <f>B9*B10*D6*(B8-B10)/1000000</f>
        <v>0</v>
      </c>
      <c r="C45" t="s">
        <v>267</v>
      </c>
      <c r="D45" t="s">
        <v>1013</v>
      </c>
      <c r="H45" s="219"/>
      <c r="I45" s="219"/>
      <c r="J45" s="264" t="e">
        <f>(B9*B8-((B9*B8)^2-4*B9*B49*1000000/D6)^0.5)/(2*B9)</f>
        <v>#DIV/0!</v>
      </c>
      <c r="K45" s="265" t="e">
        <f>E10-2*J45*B9</f>
        <v>#DIV/0!</v>
      </c>
    </row>
    <row r="46" spans="1:11" ht="14" customHeight="1">
      <c r="A46" t="s">
        <v>1011</v>
      </c>
      <c r="B46" s="266">
        <f>(E9-0.25*B11*(B8-2*B10-2*B12)^2)*D6/1000000</f>
        <v>121.6298396666667</v>
      </c>
      <c r="C46" t="s">
        <v>267</v>
      </c>
      <c r="D46" t="s">
        <v>1014</v>
      </c>
      <c r="H46" s="268" t="e">
        <f>(E10-2*B10*B9-B11*(B8-2*B10-2*B12))/(2*B12)</f>
        <v>#DIV/0!</v>
      </c>
      <c r="I46" s="219"/>
      <c r="J46" s="264" t="e">
        <f>(H46*(B8-2*B10)-((H46*(B8-2*B10))^2-4*H46*(B49*1000000-B45*1000000)/D6)^0.5)/(2*H46)</f>
        <v>#DIV/0!</v>
      </c>
      <c r="K46" s="265" t="e">
        <f>E10-2*B10*B9-2*J46*H46</f>
        <v>#DIV/0!</v>
      </c>
    </row>
    <row r="47" spans="1:11" ht="14" customHeight="1">
      <c r="A47" t="s">
        <v>1012</v>
      </c>
      <c r="B47" s="266">
        <f>E9*D6/1000000</f>
        <v>177.74263066666671</v>
      </c>
      <c r="C47" t="s">
        <v>267</v>
      </c>
      <c r="D47" t="s">
        <v>1015</v>
      </c>
      <c r="H47" s="219"/>
      <c r="I47" s="268">
        <f>((E9-B49*1000000/D6)*4/B11)^0.5</f>
        <v>209.28130629446883</v>
      </c>
      <c r="J47" s="219"/>
      <c r="K47" s="265">
        <f>I47*B11</f>
        <v>4185.6261258893765</v>
      </c>
    </row>
    <row r="48" spans="1:11" ht="14" customHeight="1">
      <c r="C48" t="s">
        <v>47</v>
      </c>
    </row>
    <row r="49" spans="1:16" ht="14" customHeight="1">
      <c r="A49" t="s">
        <v>987</v>
      </c>
      <c r="B49" s="220">
        <f>B17</f>
        <v>100</v>
      </c>
      <c r="C49" t="s">
        <v>1016</v>
      </c>
      <c r="D49" s="253" t="str">
        <f>IF(B49&gt;B47,"profiel voldoet niet!",IF(B49&lt;B45,"overgang in de flens",IF(B49&lt;B46,"overgang in de afronding","overgang in het lijf")))</f>
        <v>overgang in de afronding</v>
      </c>
    </row>
    <row r="51" spans="1:16" ht="14" customHeight="1">
      <c r="A51" t="s">
        <v>1018</v>
      </c>
      <c r="D51" s="259" t="e">
        <f>IF(B49&gt;B47,"--",IF(B49&lt;B45,K45,IF(B49&lt;B46,K46,K47)))</f>
        <v>#DIV/0!</v>
      </c>
      <c r="E51" t="s">
        <v>171</v>
      </c>
    </row>
    <row r="53" spans="1:16" ht="14" customHeight="1">
      <c r="A53" t="s">
        <v>1021</v>
      </c>
      <c r="B53" s="220" t="e">
        <f>D51*D6/1000</f>
        <v>#DIV/0!</v>
      </c>
      <c r="C53" t="s">
        <v>1020</v>
      </c>
      <c r="D53" t="e">
        <f>IF(B49&gt;B47,"profiel voldoet niet!",IF(B53&lt;E17,"profiel voldoet niet!","profiel voldoet"))</f>
        <v>#DIV/0!</v>
      </c>
    </row>
    <row r="55" spans="1:16" ht="14" customHeight="1">
      <c r="A55" t="s">
        <v>1000</v>
      </c>
      <c r="D55">
        <f>IF(D6=235,VLOOKUP(B5,DBASE,27,FALSE),IF(D6=275,VLOOKUP(B5,DBASE,28,FALSE),IF(D6=355,VLOOKUP(B5,DBASE,29,FALSE),IF(D6=420,VLOOKUP(B5,DBASE,30,FALSE),VLOOKUP(B5,DBASE,31,FALSE)))))</f>
        <v>1</v>
      </c>
    </row>
    <row r="57" spans="1:16" ht="14" customHeight="1">
      <c r="A57" s="33" t="s">
        <v>994</v>
      </c>
      <c r="C57" s="260" t="e">
        <f>IF(D53="profiel voldoet niet!",D55,1)</f>
        <v>#DIV/0!</v>
      </c>
    </row>
    <row r="60" spans="1:16" ht="14" customHeight="1">
      <c r="A60" s="33" t="s">
        <v>999</v>
      </c>
    </row>
    <row r="61" spans="1:16" ht="14" customHeight="1">
      <c r="A61" t="s">
        <v>1023</v>
      </c>
    </row>
    <row r="62" spans="1:16" ht="14" customHeight="1">
      <c r="I62" s="1"/>
      <c r="J62" s="32"/>
    </row>
    <row r="63" spans="1:16" ht="14" customHeight="1">
      <c r="A63" t="s">
        <v>1005</v>
      </c>
      <c r="B63">
        <v>1</v>
      </c>
      <c r="C63">
        <v>2</v>
      </c>
      <c r="D63">
        <v>3</v>
      </c>
      <c r="E63">
        <v>4</v>
      </c>
      <c r="F63">
        <v>5</v>
      </c>
      <c r="G63">
        <v>6</v>
      </c>
      <c r="H63">
        <v>7</v>
      </c>
      <c r="I63" s="1">
        <v>8</v>
      </c>
      <c r="J63" s="1">
        <v>9</v>
      </c>
      <c r="K63">
        <v>10</v>
      </c>
      <c r="L63">
        <v>11</v>
      </c>
      <c r="M63">
        <v>12</v>
      </c>
      <c r="N63">
        <v>13</v>
      </c>
      <c r="O63">
        <v>14</v>
      </c>
      <c r="P63">
        <v>15</v>
      </c>
    </row>
    <row r="64" spans="1:16" s="219" customFormat="1" ht="14" customHeight="1">
      <c r="A64" s="219" t="s">
        <v>1025</v>
      </c>
      <c r="B64" s="267">
        <f t="shared" ref="B64:P64" si="0">$B9*$B10*B73*($B8-$B10)/1000000</f>
        <v>0</v>
      </c>
      <c r="C64" s="267">
        <f t="shared" si="0"/>
        <v>0</v>
      </c>
      <c r="D64" s="267">
        <f t="shared" si="0"/>
        <v>0</v>
      </c>
      <c r="E64" s="267">
        <f t="shared" si="0"/>
        <v>0</v>
      </c>
      <c r="F64" s="267">
        <f t="shared" si="0"/>
        <v>0</v>
      </c>
      <c r="G64" s="267">
        <f t="shared" si="0"/>
        <v>0</v>
      </c>
      <c r="H64" s="267">
        <f t="shared" si="0"/>
        <v>0</v>
      </c>
      <c r="I64" s="267">
        <f t="shared" si="0"/>
        <v>0</v>
      </c>
      <c r="J64" s="267">
        <f t="shared" si="0"/>
        <v>0</v>
      </c>
      <c r="K64" s="267">
        <f t="shared" si="0"/>
        <v>0</v>
      </c>
      <c r="L64" s="267">
        <f t="shared" si="0"/>
        <v>0</v>
      </c>
      <c r="M64" s="267">
        <f t="shared" si="0"/>
        <v>0</v>
      </c>
      <c r="N64" s="267">
        <f t="shared" si="0"/>
        <v>0</v>
      </c>
      <c r="O64" s="267">
        <f t="shared" si="0"/>
        <v>0</v>
      </c>
      <c r="P64" s="267">
        <f t="shared" si="0"/>
        <v>0</v>
      </c>
    </row>
    <row r="65" spans="1:16" s="219" customFormat="1" ht="14" customHeight="1">
      <c r="A65" s="219" t="s">
        <v>1026</v>
      </c>
      <c r="B65" s="267">
        <f t="shared" ref="B65:P65" si="1">($E9-0.25*$B11*($B8-2*$B10-2*$B12)^2)*B73/1000000</f>
        <v>95.030076661626211</v>
      </c>
      <c r="C65" s="267">
        <f t="shared" si="1"/>
        <v>81.730195159105946</v>
      </c>
      <c r="D65" s="267">
        <f t="shared" si="1"/>
        <v>75.080254407845828</v>
      </c>
      <c r="E65" s="267">
        <f t="shared" si="1"/>
        <v>78.405224783475887</v>
      </c>
      <c r="F65" s="267">
        <f t="shared" si="1"/>
        <v>76.742739595660851</v>
      </c>
      <c r="G65" s="267">
        <f t="shared" si="1"/>
        <v>77.573982189568369</v>
      </c>
      <c r="H65" s="267">
        <f t="shared" si="1"/>
        <v>77.989603486522142</v>
      </c>
      <c r="I65" s="267">
        <f t="shared" si="1"/>
        <v>77.781792838045249</v>
      </c>
      <c r="J65" s="267">
        <f t="shared" si="1"/>
        <v>77.885698162283703</v>
      </c>
      <c r="K65" s="267">
        <f t="shared" si="1"/>
        <v>77.833745500164483</v>
      </c>
      <c r="L65" s="267">
        <f t="shared" si="1"/>
        <v>77.859721831224078</v>
      </c>
      <c r="M65" s="267">
        <f t="shared" si="1"/>
        <v>77.846733665694288</v>
      </c>
      <c r="N65" s="267">
        <f t="shared" si="1"/>
        <v>77.840239582929371</v>
      </c>
      <c r="O65" s="267">
        <f t="shared" si="1"/>
        <v>77.843486624311822</v>
      </c>
      <c r="P65" s="267">
        <f t="shared" si="1"/>
        <v>77.841863103620582</v>
      </c>
    </row>
    <row r="66" spans="1:16" s="219" customFormat="1" ht="14" customHeight="1">
      <c r="A66" s="219" t="s">
        <v>1027</v>
      </c>
      <c r="B66" s="267">
        <f t="shared" ref="B66:P66" si="2">$E9*B73/1000000</f>
        <v>138.87131533333337</v>
      </c>
      <c r="C66" s="267">
        <f t="shared" si="2"/>
        <v>119.43565766666667</v>
      </c>
      <c r="D66" s="267">
        <f t="shared" si="2"/>
        <v>109.71782883333334</v>
      </c>
      <c r="E66" s="267">
        <f t="shared" si="2"/>
        <v>114.57674325000002</v>
      </c>
      <c r="F66" s="267">
        <f t="shared" si="2"/>
        <v>112.14728604166667</v>
      </c>
      <c r="G66" s="267">
        <f t="shared" si="2"/>
        <v>113.36201464583336</v>
      </c>
      <c r="H66" s="267">
        <f t="shared" si="2"/>
        <v>113.96937894791668</v>
      </c>
      <c r="I66" s="267">
        <f t="shared" si="2"/>
        <v>113.66569679687501</v>
      </c>
      <c r="J66" s="267">
        <f t="shared" si="2"/>
        <v>113.81753787239586</v>
      </c>
      <c r="K66" s="267">
        <f t="shared" si="2"/>
        <v>113.74161733463544</v>
      </c>
      <c r="L66" s="267">
        <f t="shared" si="2"/>
        <v>113.77957760351563</v>
      </c>
      <c r="M66" s="267">
        <f t="shared" si="2"/>
        <v>113.76059746907553</v>
      </c>
      <c r="N66" s="267">
        <f t="shared" si="2"/>
        <v>113.75110740185546</v>
      </c>
      <c r="O66" s="267">
        <f t="shared" si="2"/>
        <v>113.7558524354655</v>
      </c>
      <c r="P66" s="267">
        <f t="shared" si="2"/>
        <v>113.75347991866049</v>
      </c>
    </row>
    <row r="67" spans="1:16" s="219" customFormat="1" ht="14" customHeight="1">
      <c r="A67" s="219" t="s">
        <v>1022</v>
      </c>
      <c r="B67" s="268" t="e">
        <f t="shared" ref="B67:P67" si="3">($E10-2*$B10*$B9-$B11*($B8-2*$B10-2*$B12))/(2*$B12)</f>
        <v>#DIV/0!</v>
      </c>
      <c r="C67" s="268" t="e">
        <f t="shared" si="3"/>
        <v>#DIV/0!</v>
      </c>
      <c r="D67" s="268" t="e">
        <f t="shared" si="3"/>
        <v>#DIV/0!</v>
      </c>
      <c r="E67" s="268" t="e">
        <f t="shared" si="3"/>
        <v>#DIV/0!</v>
      </c>
      <c r="F67" s="268" t="e">
        <f t="shared" si="3"/>
        <v>#DIV/0!</v>
      </c>
      <c r="G67" s="268" t="e">
        <f t="shared" si="3"/>
        <v>#DIV/0!</v>
      </c>
      <c r="H67" s="268" t="e">
        <f t="shared" si="3"/>
        <v>#DIV/0!</v>
      </c>
      <c r="I67" s="268" t="e">
        <f t="shared" si="3"/>
        <v>#DIV/0!</v>
      </c>
      <c r="J67" s="268" t="e">
        <f t="shared" si="3"/>
        <v>#DIV/0!</v>
      </c>
      <c r="K67" s="268" t="e">
        <f t="shared" si="3"/>
        <v>#DIV/0!</v>
      </c>
      <c r="L67" s="268" t="e">
        <f t="shared" si="3"/>
        <v>#DIV/0!</v>
      </c>
      <c r="M67" s="268" t="e">
        <f t="shared" si="3"/>
        <v>#DIV/0!</v>
      </c>
      <c r="N67" s="268" t="e">
        <f t="shared" si="3"/>
        <v>#DIV/0!</v>
      </c>
      <c r="O67" s="268" t="e">
        <f t="shared" si="3"/>
        <v>#DIV/0!</v>
      </c>
      <c r="P67" s="268" t="e">
        <f t="shared" si="3"/>
        <v>#DIV/0!</v>
      </c>
    </row>
    <row r="68" spans="1:16" s="219" customFormat="1" ht="14" customHeight="1">
      <c r="A68" s="219" t="s">
        <v>46</v>
      </c>
      <c r="B68" s="268">
        <f t="shared" ref="B68:P68" si="4">(($E9-$B49*1000000/B73)*4/$B11)^0.5</f>
        <v>167.41908611257068</v>
      </c>
      <c r="C68" s="268">
        <f t="shared" si="4"/>
        <v>127.65247539697656</v>
      </c>
      <c r="D68" s="268">
        <f t="shared" si="4"/>
        <v>94.176521060246557</v>
      </c>
      <c r="E68" s="268">
        <f t="shared" si="4"/>
        <v>112.87002947796286</v>
      </c>
      <c r="F68" s="268">
        <f t="shared" si="4"/>
        <v>104.1458258533815</v>
      </c>
      <c r="G68" s="268">
        <f t="shared" si="4"/>
        <v>108.64226644600458</v>
      </c>
      <c r="H68" s="268">
        <f t="shared" si="4"/>
        <v>110.78758144726751</v>
      </c>
      <c r="I68" s="268">
        <f t="shared" si="4"/>
        <v>109.72303304270886</v>
      </c>
      <c r="J68" s="268">
        <f t="shared" si="4"/>
        <v>110.25730213756654</v>
      </c>
      <c r="K68" s="268">
        <f t="shared" si="4"/>
        <v>109.99067029319235</v>
      </c>
      <c r="L68" s="268">
        <f t="shared" si="4"/>
        <v>110.12411138950728</v>
      </c>
      <c r="M68" s="268">
        <f t="shared" si="4"/>
        <v>110.05742219732437</v>
      </c>
      <c r="N68" s="268">
        <f t="shared" si="4"/>
        <v>110.02405409208011</v>
      </c>
      <c r="O68" s="268">
        <f t="shared" si="4"/>
        <v>110.0407401054281</v>
      </c>
      <c r="P68" s="268">
        <f t="shared" si="4"/>
        <v>110.03239758905796</v>
      </c>
    </row>
    <row r="69" spans="1:16" s="219" customFormat="1" ht="14" customHeight="1">
      <c r="A69" s="219" t="s">
        <v>1019</v>
      </c>
      <c r="B69" s="264" t="e">
        <f t="shared" ref="B69:P69" si="5">IF($B49&lt;B64,($B9*$B8-(($B9*$B8)^2-4*$B9*$B49*1000000/B73)^0.5)/(2*$B9),(B67*($B8-2*$B10)-((B67*($B8-2*$B10))^2-4*B67*($B49*1000000-B64*1000000)/B73)^0.5)/(2*B67))</f>
        <v>#DIV/0!</v>
      </c>
      <c r="C69" s="264" t="e">
        <f t="shared" si="5"/>
        <v>#DIV/0!</v>
      </c>
      <c r="D69" s="264" t="e">
        <f t="shared" si="5"/>
        <v>#DIV/0!</v>
      </c>
      <c r="E69" s="264" t="e">
        <f t="shared" si="5"/>
        <v>#DIV/0!</v>
      </c>
      <c r="F69" s="264" t="e">
        <f t="shared" si="5"/>
        <v>#DIV/0!</v>
      </c>
      <c r="G69" s="264" t="e">
        <f t="shared" si="5"/>
        <v>#DIV/0!</v>
      </c>
      <c r="H69" s="264" t="e">
        <f t="shared" si="5"/>
        <v>#DIV/0!</v>
      </c>
      <c r="I69" s="264" t="e">
        <f t="shared" si="5"/>
        <v>#DIV/0!</v>
      </c>
      <c r="J69" s="264" t="e">
        <f t="shared" si="5"/>
        <v>#DIV/0!</v>
      </c>
      <c r="K69" s="264" t="e">
        <f t="shared" si="5"/>
        <v>#DIV/0!</v>
      </c>
      <c r="L69" s="264" t="e">
        <f t="shared" si="5"/>
        <v>#DIV/0!</v>
      </c>
      <c r="M69" s="264" t="e">
        <f t="shared" si="5"/>
        <v>#DIV/0!</v>
      </c>
      <c r="N69" s="264" t="e">
        <f t="shared" si="5"/>
        <v>#DIV/0!</v>
      </c>
      <c r="O69" s="264" t="e">
        <f t="shared" si="5"/>
        <v>#DIV/0!</v>
      </c>
      <c r="P69" s="264" t="e">
        <f t="shared" si="5"/>
        <v>#DIV/0!</v>
      </c>
    </row>
    <row r="70" spans="1:16" s="219" customFormat="1" ht="14" customHeight="1">
      <c r="A70" s="219" t="s">
        <v>183</v>
      </c>
      <c r="B70" s="269">
        <f t="shared" ref="B70:P70" si="6">IF($B49&gt;B66,"--",IF($B49&lt;B64,$E10-2*B69*$B9,IF($B49&lt;B65,$E10-2*$B10*$B9-2*B69*B67,B68*$B11)))</f>
        <v>3348.3817222514135</v>
      </c>
      <c r="C70" s="269">
        <f t="shared" si="6"/>
        <v>2553.0495079395309</v>
      </c>
      <c r="D70" s="269">
        <f t="shared" si="6"/>
        <v>1883.5304212049311</v>
      </c>
      <c r="E70" s="269">
        <f t="shared" si="6"/>
        <v>2257.4005895592572</v>
      </c>
      <c r="F70" s="269">
        <f t="shared" si="6"/>
        <v>2082.9165170676297</v>
      </c>
      <c r="G70" s="269">
        <f t="shared" si="6"/>
        <v>2172.8453289200916</v>
      </c>
      <c r="H70" s="269">
        <f t="shared" si="6"/>
        <v>2215.7516289453501</v>
      </c>
      <c r="I70" s="269">
        <f t="shared" si="6"/>
        <v>2194.4606608541771</v>
      </c>
      <c r="J70" s="269">
        <f t="shared" si="6"/>
        <v>2205.1460427513307</v>
      </c>
      <c r="K70" s="269">
        <f t="shared" si="6"/>
        <v>2199.813405863847</v>
      </c>
      <c r="L70" s="269">
        <f t="shared" si="6"/>
        <v>2202.4822277901458</v>
      </c>
      <c r="M70" s="269">
        <f t="shared" si="6"/>
        <v>2201.1484439464875</v>
      </c>
      <c r="N70" s="269">
        <f t="shared" si="6"/>
        <v>2200.4810818416022</v>
      </c>
      <c r="O70" s="269">
        <f t="shared" si="6"/>
        <v>2200.8148021085622</v>
      </c>
      <c r="P70" s="269">
        <f t="shared" si="6"/>
        <v>2200.6479517811595</v>
      </c>
    </row>
    <row r="71" spans="1:16" ht="14" customHeight="1">
      <c r="A71" t="s">
        <v>1006</v>
      </c>
      <c r="B71" s="223">
        <f>MAX(E17*1000/E10,B17*1000000/E9)</f>
        <v>199.72698652455333</v>
      </c>
      <c r="C71" s="223">
        <f t="shared" ref="C71:P71" si="7">IF(B74&gt;$E17,B71,B73)</f>
        <v>199.72698652455333</v>
      </c>
      <c r="D71" s="223">
        <f t="shared" si="7"/>
        <v>199.72698652455333</v>
      </c>
      <c r="E71" s="223">
        <f t="shared" si="7"/>
        <v>219.13611320898417</v>
      </c>
      <c r="F71" s="223">
        <f t="shared" si="7"/>
        <v>219.13611320898417</v>
      </c>
      <c r="G71" s="223">
        <f t="shared" si="7"/>
        <v>223.98839488009187</v>
      </c>
      <c r="H71" s="223">
        <f t="shared" si="7"/>
        <v>226.41453571564574</v>
      </c>
      <c r="I71" s="223">
        <f t="shared" si="7"/>
        <v>226.41453571564574</v>
      </c>
      <c r="J71" s="223">
        <f t="shared" si="7"/>
        <v>227.0210709245342</v>
      </c>
      <c r="K71" s="223">
        <f t="shared" si="7"/>
        <v>227.0210709245342</v>
      </c>
      <c r="L71" s="223">
        <f t="shared" si="7"/>
        <v>227.17270472675631</v>
      </c>
      <c r="M71" s="223">
        <f t="shared" si="7"/>
        <v>227.17270472675631</v>
      </c>
      <c r="N71" s="223">
        <f t="shared" si="7"/>
        <v>227.17270472675631</v>
      </c>
      <c r="O71" s="223">
        <f t="shared" si="7"/>
        <v>227.19165895203406</v>
      </c>
      <c r="P71" s="223">
        <f t="shared" si="7"/>
        <v>227.19165895203406</v>
      </c>
    </row>
    <row r="72" spans="1:16" ht="14" customHeight="1">
      <c r="A72" t="s">
        <v>1007</v>
      </c>
      <c r="B72" s="223">
        <f>D6</f>
        <v>355</v>
      </c>
      <c r="C72" s="223">
        <f t="shared" ref="C72:P72" si="8">IF(B74&gt;$E17,B73,B72)</f>
        <v>277.36349326227668</v>
      </c>
      <c r="D72" s="223">
        <f t="shared" si="8"/>
        <v>238.54523989341499</v>
      </c>
      <c r="E72" s="223">
        <f t="shared" si="8"/>
        <v>238.54523989341499</v>
      </c>
      <c r="F72" s="223">
        <f t="shared" si="8"/>
        <v>228.84067655119958</v>
      </c>
      <c r="G72" s="223">
        <f t="shared" si="8"/>
        <v>228.84067655119958</v>
      </c>
      <c r="H72" s="223">
        <f t="shared" si="8"/>
        <v>228.84067655119958</v>
      </c>
      <c r="I72" s="223">
        <f t="shared" si="8"/>
        <v>227.62760613342266</v>
      </c>
      <c r="J72" s="223">
        <f t="shared" si="8"/>
        <v>227.62760613342266</v>
      </c>
      <c r="K72" s="223">
        <f t="shared" si="8"/>
        <v>227.32433852897844</v>
      </c>
      <c r="L72" s="223">
        <f t="shared" si="8"/>
        <v>227.32433852897844</v>
      </c>
      <c r="M72" s="223">
        <f t="shared" si="8"/>
        <v>227.24852162786738</v>
      </c>
      <c r="N72" s="223">
        <f t="shared" si="8"/>
        <v>227.21061317731184</v>
      </c>
      <c r="O72" s="223">
        <f t="shared" si="8"/>
        <v>227.21061317731184</v>
      </c>
      <c r="P72" s="223">
        <f t="shared" si="8"/>
        <v>227.20113606467294</v>
      </c>
    </row>
    <row r="73" spans="1:16" ht="14" customHeight="1">
      <c r="A73" t="s">
        <v>1008</v>
      </c>
      <c r="B73" s="223">
        <f t="shared" ref="B73:P73" si="9">(B71+B72)/2</f>
        <v>277.36349326227668</v>
      </c>
      <c r="C73" s="223">
        <f t="shared" si="9"/>
        <v>238.54523989341499</v>
      </c>
      <c r="D73" s="223">
        <f t="shared" si="9"/>
        <v>219.13611320898417</v>
      </c>
      <c r="E73" s="223">
        <f t="shared" si="9"/>
        <v>228.84067655119958</v>
      </c>
      <c r="F73" s="223">
        <f t="shared" si="9"/>
        <v>223.98839488009187</v>
      </c>
      <c r="G73" s="223">
        <f t="shared" si="9"/>
        <v>226.41453571564574</v>
      </c>
      <c r="H73" s="223">
        <f t="shared" si="9"/>
        <v>227.62760613342266</v>
      </c>
      <c r="I73" s="223">
        <f t="shared" si="9"/>
        <v>227.0210709245342</v>
      </c>
      <c r="J73" s="223">
        <f t="shared" si="9"/>
        <v>227.32433852897844</v>
      </c>
      <c r="K73" s="223">
        <f t="shared" si="9"/>
        <v>227.17270472675631</v>
      </c>
      <c r="L73" s="223">
        <f t="shared" si="9"/>
        <v>227.24852162786738</v>
      </c>
      <c r="M73" s="223">
        <f t="shared" si="9"/>
        <v>227.21061317731184</v>
      </c>
      <c r="N73" s="223">
        <f t="shared" si="9"/>
        <v>227.19165895203406</v>
      </c>
      <c r="O73" s="223">
        <f t="shared" si="9"/>
        <v>227.20113606467294</v>
      </c>
      <c r="P73" s="272">
        <f t="shared" si="9"/>
        <v>227.1963975083535</v>
      </c>
    </row>
    <row r="74" spans="1:16" ht="14" customHeight="1">
      <c r="A74" t="s">
        <v>1024</v>
      </c>
      <c r="B74" s="220">
        <f t="shared" ref="B74:P74" si="10">B70*B73/1000</f>
        <v>928.71885125921028</v>
      </c>
      <c r="C74" s="220">
        <f t="shared" si="10"/>
        <v>609.0178073312004</v>
      </c>
      <c r="D74" s="220">
        <f t="shared" si="10"/>
        <v>412.74953561372945</v>
      </c>
      <c r="E74" s="220">
        <f t="shared" si="10"/>
        <v>516.58507816181725</v>
      </c>
      <c r="F74" s="220">
        <f t="shared" si="10"/>
        <v>466.54912732720987</v>
      </c>
      <c r="G74" s="220">
        <f t="shared" si="10"/>
        <v>491.9637663293521</v>
      </c>
      <c r="H74" s="220">
        <f t="shared" si="10"/>
        <v>504.36623908306183</v>
      </c>
      <c r="I74" s="220">
        <f t="shared" si="10"/>
        <v>498.18880932887635</v>
      </c>
      <c r="J74" s="220">
        <f t="shared" si="10"/>
        <v>501.28336552824067</v>
      </c>
      <c r="K74" s="220">
        <f t="shared" si="10"/>
        <v>499.73756130426784</v>
      </c>
      <c r="L74" s="220">
        <f t="shared" si="10"/>
        <v>500.51083017696249</v>
      </c>
      <c r="M74" s="220">
        <f t="shared" si="10"/>
        <v>500.12428764336727</v>
      </c>
      <c r="N74" s="220">
        <f t="shared" si="10"/>
        <v>499.93094747616027</v>
      </c>
      <c r="O74" s="220">
        <f t="shared" si="10"/>
        <v>500.02762330701364</v>
      </c>
      <c r="P74" s="220">
        <f t="shared" si="10"/>
        <v>499.97928682881621</v>
      </c>
    </row>
    <row r="75" spans="1:16" ht="14" customHeight="1">
      <c r="A75" s="262" t="s">
        <v>46</v>
      </c>
      <c r="B75" s="270">
        <f t="shared" ref="B75:P75" si="11">IF($B49&lt;B65,1,($B8/2+B68/2-$B10-$B12)/($B8-2*$B10-2*$B12))</f>
        <v>0.97080732877550813</v>
      </c>
      <c r="C75" s="270">
        <f t="shared" si="11"/>
        <v>0.85897771483964158</v>
      </c>
      <c r="D75" s="270">
        <f t="shared" si="11"/>
        <v>0.76483836068685762</v>
      </c>
      <c r="E75" s="270">
        <f t="shared" si="11"/>
        <v>0.81740728199652102</v>
      </c>
      <c r="F75" s="270">
        <f t="shared" si="11"/>
        <v>0.79287352602188266</v>
      </c>
      <c r="G75" s="270">
        <f t="shared" si="11"/>
        <v>0.80551818460631219</v>
      </c>
      <c r="H75" s="270">
        <f t="shared" si="11"/>
        <v>0.8115511289293238</v>
      </c>
      <c r="I75" s="270">
        <f t="shared" si="11"/>
        <v>0.80855746075002499</v>
      </c>
      <c r="J75" s="270">
        <f t="shared" si="11"/>
        <v>0.81005990477380918</v>
      </c>
      <c r="K75" s="270">
        <f t="shared" si="11"/>
        <v>0.80931009643754881</v>
      </c>
      <c r="L75" s="270">
        <f t="shared" si="11"/>
        <v>0.8096853526139125</v>
      </c>
      <c r="M75" s="270">
        <f t="shared" si="11"/>
        <v>0.80949781270338672</v>
      </c>
      <c r="N75" s="270">
        <f t="shared" si="11"/>
        <v>0.80940397663689567</v>
      </c>
      <c r="O75" s="270">
        <f t="shared" si="11"/>
        <v>0.80945090018399346</v>
      </c>
      <c r="P75" s="271">
        <f t="shared" si="11"/>
        <v>0.8094274397892518</v>
      </c>
    </row>
    <row r="77" spans="1:16" ht="14" customHeight="1">
      <c r="A77" s="33" t="s">
        <v>991</v>
      </c>
    </row>
    <row r="78" spans="1:16" ht="14" customHeight="1">
      <c r="A78" t="s">
        <v>992</v>
      </c>
      <c r="C78" s="261">
        <f>(B8-2*B10-2*B12)/B11</f>
        <v>8.89</v>
      </c>
      <c r="D78" s="261" t="s">
        <v>47</v>
      </c>
    </row>
    <row r="80" spans="1:16" ht="14" customHeight="1">
      <c r="A80" t="s">
        <v>993</v>
      </c>
    </row>
    <row r="81" spans="1:5" ht="14" customHeight="1">
      <c r="A81" t="s">
        <v>1028</v>
      </c>
      <c r="C81" s="261">
        <f>396*(235/P73)^0.5*0.85/(13*P75-1)</f>
        <v>35.949574492404146</v>
      </c>
    </row>
    <row r="83" spans="1:5" ht="14" customHeight="1">
      <c r="A83" t="s">
        <v>995</v>
      </c>
    </row>
    <row r="84" spans="1:5" ht="14" customHeight="1">
      <c r="A84" t="s">
        <v>1029</v>
      </c>
      <c r="C84" s="261">
        <f>456*(235/P73)^0.5*0.85/(13*P75-1)</f>
        <v>41.396479718525981</v>
      </c>
    </row>
    <row r="86" spans="1:5" ht="14" customHeight="1">
      <c r="A86" s="33" t="s">
        <v>994</v>
      </c>
      <c r="C86" s="260">
        <f>IF(C78&lt;=C81,1,IF(C78&lt;=C84,2,3))</f>
        <v>1</v>
      </c>
      <c r="E86" t="str">
        <f>IF(C86=3,"Nog te controleren!","")</f>
        <v/>
      </c>
    </row>
    <row r="89" spans="1:5" ht="14" customHeight="1">
      <c r="A89" s="33" t="s">
        <v>1030</v>
      </c>
    </row>
    <row r="90" spans="1:5" ht="14" customHeight="1">
      <c r="A90" t="s">
        <v>1031</v>
      </c>
    </row>
    <row r="91" spans="1:5" ht="14" customHeight="1">
      <c r="A91" t="s">
        <v>1032</v>
      </c>
      <c r="B91" s="261">
        <f>B17*1000000/E8+E17*1000/E10</f>
        <v>333.94034033384554</v>
      </c>
    </row>
    <row r="92" spans="1:5" ht="14" customHeight="1">
      <c r="A92" t="s">
        <v>1033</v>
      </c>
      <c r="B92" s="261">
        <f>-B17*1000000/E8+E17*1000/E10</f>
        <v>-233.0816945214911</v>
      </c>
    </row>
    <row r="93" spans="1:5" ht="14" customHeight="1">
      <c r="A93" t="s">
        <v>1034</v>
      </c>
      <c r="B93" s="270">
        <f>B92/B91</f>
        <v>-0.69797405814606162</v>
      </c>
    </row>
    <row r="95" spans="1:5" ht="14" customHeight="1">
      <c r="A95" s="33" t="s">
        <v>991</v>
      </c>
    </row>
    <row r="96" spans="1:5" ht="14" customHeight="1">
      <c r="A96" t="s">
        <v>992</v>
      </c>
      <c r="D96" s="261">
        <f>C78</f>
        <v>8.89</v>
      </c>
      <c r="E96" s="261" t="s">
        <v>47</v>
      </c>
    </row>
    <row r="98" spans="1:6" ht="14" customHeight="1">
      <c r="A98" t="s">
        <v>996</v>
      </c>
    </row>
    <row r="99" spans="1:6" ht="14" customHeight="1">
      <c r="A99" t="s">
        <v>1035</v>
      </c>
      <c r="D99" s="261">
        <f>42*(235/B91)^0.5*0.85/(0.67+0.33*B93)</f>
        <v>68.114926559081837</v>
      </c>
    </row>
    <row r="101" spans="1:6" ht="14" customHeight="1">
      <c r="A101" s="33" t="s">
        <v>994</v>
      </c>
      <c r="D101" s="279" t="str">
        <f>IF(C86&lt;3,"--",IF(D96&lt;=D99,3,4))</f>
        <v>--</v>
      </c>
      <c r="F101" s="253"/>
    </row>
    <row r="102" spans="1:6" ht="14" customHeight="1">
      <c r="A102" s="33"/>
      <c r="D102" s="33"/>
      <c r="F102" s="253"/>
    </row>
    <row r="104" spans="1:6" s="274" customFormat="1" ht="16" customHeight="1">
      <c r="A104" s="273" t="s">
        <v>1036</v>
      </c>
      <c r="B104" s="273"/>
      <c r="C104" s="275"/>
      <c r="D104" s="276" t="str">
        <f>IFERROR(MAX(D101,C86,C57,C39),"--")</f>
        <v>--</v>
      </c>
      <c r="E104" s="274" t="e">
        <f>IF(OR(D49="profiel voldoet niet!",D53="profiel voldoet niet!"),"  Het gekozen profiel voldoet niet!","")</f>
        <v>#DIV/0!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8"/>
  <sheetViews>
    <sheetView showGridLines="0" zoomScale="150" zoomScaleNormal="150" zoomScalePageLayoutView="150" workbookViewId="0">
      <selection sqref="A1:H2"/>
    </sheetView>
  </sheetViews>
  <sheetFormatPr baseColWidth="10" defaultRowHeight="14" customHeight="1"/>
  <cols>
    <col min="2" max="2" width="12" bestFit="1" customWidth="1"/>
  </cols>
  <sheetData>
    <row r="1" spans="1:6" ht="18">
      <c r="A1" s="252" t="s">
        <v>1045</v>
      </c>
    </row>
    <row r="3" spans="1:6" ht="16" customHeight="1">
      <c r="A3" s="251" t="s">
        <v>973</v>
      </c>
    </row>
    <row r="4" spans="1:6" ht="14" customHeight="1">
      <c r="A4" t="s">
        <v>47</v>
      </c>
    </row>
    <row r="5" spans="1:6" ht="14" customHeight="1">
      <c r="A5" t="s">
        <v>974</v>
      </c>
      <c r="B5" s="223" t="str">
        <f>head!C86</f>
        <v>CF CHS 177,8 x 20</v>
      </c>
    </row>
    <row r="6" spans="1:6" ht="14" customHeight="1">
      <c r="A6" t="s">
        <v>975</v>
      </c>
      <c r="B6" s="223" t="str">
        <f>head!F82</f>
        <v>S355</v>
      </c>
      <c r="C6" s="209" t="s">
        <v>976</v>
      </c>
      <c r="D6">
        <f>VLOOKUP('Doorsnedeklasse rond'!B6,head!L1:M5,2)</f>
        <v>355</v>
      </c>
      <c r="E6" t="s">
        <v>977</v>
      </c>
    </row>
    <row r="8" spans="1:6" ht="14" customHeight="1">
      <c r="A8" t="s">
        <v>1037</v>
      </c>
      <c r="B8" s="258">
        <f>VLOOKUP($B$5,DBASE,3,FALSE)</f>
        <v>177.8</v>
      </c>
      <c r="C8" t="s">
        <v>172</v>
      </c>
      <c r="D8" s="209" t="s">
        <v>1039</v>
      </c>
      <c r="E8" s="259">
        <f>VLOOKUP($B$5,DBASE,14,FALSE)</f>
        <v>500683.46666666679</v>
      </c>
      <c r="F8" t="s">
        <v>18</v>
      </c>
    </row>
    <row r="9" spans="1:6" ht="14" customHeight="1">
      <c r="A9" t="s">
        <v>1038</v>
      </c>
      <c r="B9" s="258" t="str">
        <f>VLOOKUP($B$5,DBASE,5,FALSE)</f>
        <v>20</v>
      </c>
      <c r="C9" t="s">
        <v>172</v>
      </c>
      <c r="D9" s="209" t="s">
        <v>981</v>
      </c>
      <c r="E9" s="259">
        <f>VLOOKUP($B$5,DBASE,10,FALSE)</f>
        <v>9914.8664147293875</v>
      </c>
      <c r="F9" t="s">
        <v>171</v>
      </c>
    </row>
    <row r="12" spans="1:6" ht="16" customHeight="1">
      <c r="A12" s="251" t="s">
        <v>986</v>
      </c>
    </row>
    <row r="13" spans="1:6" ht="14" customHeight="1">
      <c r="A13" t="s">
        <v>47</v>
      </c>
    </row>
    <row r="14" spans="1:6" ht="14" customHeight="1">
      <c r="A14" t="s">
        <v>987</v>
      </c>
      <c r="B14" s="220">
        <f>head!I40</f>
        <v>100</v>
      </c>
      <c r="C14" t="s">
        <v>267</v>
      </c>
      <c r="D14" t="s">
        <v>1017</v>
      </c>
      <c r="E14" s="220">
        <f>head!I21</f>
        <v>500</v>
      </c>
      <c r="F14" t="s">
        <v>181</v>
      </c>
    </row>
    <row r="15" spans="1:6" ht="14" customHeight="1">
      <c r="A15" t="s">
        <v>988</v>
      </c>
      <c r="B15" s="220">
        <f>head!I61</f>
        <v>50</v>
      </c>
      <c r="C15" t="s">
        <v>267</v>
      </c>
    </row>
    <row r="16" spans="1:6" ht="14" customHeight="1">
      <c r="A16" t="s">
        <v>47</v>
      </c>
    </row>
    <row r="18" spans="1:4" ht="16" customHeight="1">
      <c r="A18" s="251" t="s">
        <v>991</v>
      </c>
    </row>
    <row r="20" spans="1:4" ht="14" customHeight="1">
      <c r="A20" s="33" t="s">
        <v>989</v>
      </c>
    </row>
    <row r="21" spans="1:4" ht="14" customHeight="1">
      <c r="A21" t="s">
        <v>1040</v>
      </c>
    </row>
    <row r="22" spans="1:4" ht="14" customHeight="1">
      <c r="A22" t="s">
        <v>990</v>
      </c>
      <c r="B22" s="220">
        <f>MAX(B14,B15)*1000000/E8+E14*1000/E9</f>
        <v>250.15630943073054</v>
      </c>
      <c r="C22" t="s">
        <v>977</v>
      </c>
    </row>
    <row r="24" spans="1:4" ht="14" customHeight="1">
      <c r="A24" s="33" t="s">
        <v>991</v>
      </c>
    </row>
    <row r="25" spans="1:4" ht="14" customHeight="1">
      <c r="A25" t="s">
        <v>1041</v>
      </c>
      <c r="C25" s="261">
        <f>B8/B9</f>
        <v>8.89</v>
      </c>
      <c r="D25" s="261" t="s">
        <v>47</v>
      </c>
    </row>
    <row r="27" spans="1:4" ht="14" customHeight="1">
      <c r="A27" t="s">
        <v>993</v>
      </c>
    </row>
    <row r="28" spans="1:4" ht="14" customHeight="1">
      <c r="A28" t="s">
        <v>1042</v>
      </c>
      <c r="C28" s="223">
        <f>50*((235/B$22)^0.5*0.85)^2</f>
        <v>33.936281756470137</v>
      </c>
    </row>
    <row r="30" spans="1:4" ht="14" customHeight="1">
      <c r="A30" t="s">
        <v>995</v>
      </c>
    </row>
    <row r="31" spans="1:4" ht="14" customHeight="1">
      <c r="A31" t="s">
        <v>1043</v>
      </c>
      <c r="C31" s="223">
        <f>70*((235/B$22)^0.5*0.85)^2</f>
        <v>47.510794459058197</v>
      </c>
    </row>
    <row r="33" spans="1:4" ht="14" customHeight="1">
      <c r="A33" t="s">
        <v>996</v>
      </c>
    </row>
    <row r="34" spans="1:4" ht="14" customHeight="1">
      <c r="A34" t="s">
        <v>1044</v>
      </c>
      <c r="C34" s="223">
        <f>90*((235/B$22)^0.5*0.85)^2</f>
        <v>61.085307161646249</v>
      </c>
    </row>
    <row r="35" spans="1:4" ht="14" customHeight="1">
      <c r="C35" s="223"/>
    </row>
    <row r="36" spans="1:4" ht="14" customHeight="1">
      <c r="A36" t="s">
        <v>1000</v>
      </c>
      <c r="D36">
        <f>IF(D6=235,VLOOKUP(B5,DBASE,27,FALSE),IF(D6=275,VLOOKUP(B5,DBASE,28,FALSE),IF(D6=355,VLOOKUP(B5,DBASE,29,FALSE),IF(D6=420,VLOOKUP(B5,DBASE,30,FALSE),VLOOKUP(B5,DBASE,31,FALSE)))))</f>
        <v>1</v>
      </c>
    </row>
    <row r="37" spans="1:4" ht="14" customHeight="1">
      <c r="C37" s="223"/>
    </row>
    <row r="38" spans="1:4" ht="14" customHeight="1">
      <c r="A38" s="275" t="s">
        <v>994</v>
      </c>
      <c r="B38" s="277"/>
      <c r="C38" s="277">
        <f>IF(B22&gt;D6,D36,IF(C25&lt;=C28,1,IF(C25&lt;=C31,2,IF(C25&lt;=C34,3,4))))</f>
        <v>1</v>
      </c>
      <c r="D38" t="str">
        <f>IF(B22&gt;D6,"  Het gekozen profiel voldoet niet!","")</f>
        <v/>
      </c>
    </row>
  </sheetData>
  <phoneticPr fontId="21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79"/>
  <sheetViews>
    <sheetView showGridLines="0" zoomScale="150" zoomScaleNormal="150" zoomScalePageLayoutView="150" workbookViewId="0">
      <selection sqref="A1:H2"/>
    </sheetView>
  </sheetViews>
  <sheetFormatPr baseColWidth="10" defaultRowHeight="14" customHeight="1"/>
  <cols>
    <col min="2" max="2" width="12" bestFit="1" customWidth="1"/>
    <col min="5" max="5" width="11.6640625" bestFit="1" customWidth="1"/>
    <col min="10" max="10" width="12" bestFit="1" customWidth="1"/>
  </cols>
  <sheetData>
    <row r="1" spans="1:6" ht="18">
      <c r="A1" s="252" t="s">
        <v>1047</v>
      </c>
    </row>
    <row r="3" spans="1:6" ht="16" customHeight="1">
      <c r="A3" s="251" t="s">
        <v>973</v>
      </c>
    </row>
    <row r="4" spans="1:6" ht="14" customHeight="1">
      <c r="A4" t="s">
        <v>47</v>
      </c>
    </row>
    <row r="5" spans="1:6" ht="14" customHeight="1">
      <c r="A5" t="s">
        <v>974</v>
      </c>
      <c r="B5" s="223" t="str">
        <f>head!C86</f>
        <v>CF CHS 177,8 x 20</v>
      </c>
    </row>
    <row r="6" spans="1:6" ht="14" customHeight="1">
      <c r="A6" t="s">
        <v>975</v>
      </c>
      <c r="B6" s="223" t="str">
        <f>head!F82</f>
        <v>S355</v>
      </c>
      <c r="C6" s="209" t="s">
        <v>976</v>
      </c>
      <c r="D6">
        <f>VLOOKUP('Doorsnedeklasse vierkant'!B6,head!L1:M5,2)</f>
        <v>355</v>
      </c>
      <c r="E6" t="s">
        <v>977</v>
      </c>
    </row>
    <row r="8" spans="1:6" ht="14" customHeight="1">
      <c r="A8" t="s">
        <v>1048</v>
      </c>
      <c r="B8" s="258">
        <f>VLOOKUP($B$5,DBASE,3,FALSE)</f>
        <v>177.8</v>
      </c>
      <c r="C8" t="s">
        <v>172</v>
      </c>
      <c r="D8" s="209" t="s">
        <v>1039</v>
      </c>
      <c r="E8" s="259">
        <f>VLOOKUP($B$5,DBASE,14,FALSE)</f>
        <v>500683.46666666679</v>
      </c>
      <c r="F8" t="s">
        <v>18</v>
      </c>
    </row>
    <row r="9" spans="1:6" ht="14" customHeight="1">
      <c r="A9" t="s">
        <v>1038</v>
      </c>
      <c r="B9" s="255" t="str">
        <f>VLOOKUP($B$5,DBASE,5,FALSE)</f>
        <v>20</v>
      </c>
      <c r="C9" t="s">
        <v>172</v>
      </c>
      <c r="D9" s="209" t="s">
        <v>1051</v>
      </c>
      <c r="E9" s="259">
        <f>VLOOKUP($B$5,DBASE,13,FALSE)</f>
        <v>352719.97860017145</v>
      </c>
      <c r="F9" t="s">
        <v>18</v>
      </c>
    </row>
    <row r="10" spans="1:6" ht="14" customHeight="1">
      <c r="A10" t="s">
        <v>1049</v>
      </c>
      <c r="B10" s="215">
        <f>(((4*B8)^2-4*4*E10)^0.5-4*B8)/-8</f>
        <v>15.248839816893224</v>
      </c>
      <c r="C10" t="s">
        <v>172</v>
      </c>
      <c r="D10" s="209" t="s">
        <v>981</v>
      </c>
      <c r="E10" s="259">
        <f>VLOOKUP($B$5,DBASE,10,FALSE)</f>
        <v>9914.8664147293875</v>
      </c>
      <c r="F10" t="s">
        <v>171</v>
      </c>
    </row>
    <row r="11" spans="1:6" ht="14" customHeight="1">
      <c r="A11" t="s">
        <v>1052</v>
      </c>
      <c r="B11" s="255" t="str">
        <f>IF(head!D85="vierkante buis, koud",IF(B9&lt;8,B9,IF(B9&lt;12.5,1.5*B9,2*B9)),B9)</f>
        <v>20</v>
      </c>
      <c r="C11" t="s">
        <v>172</v>
      </c>
      <c r="D11" s="209" t="s">
        <v>1053</v>
      </c>
      <c r="E11" s="255" t="str">
        <f>IF(head!D85="vierkante buis, koud",IF(B9&lt;8,2*B9,IF(B9&lt;12.5,2.5*B9,3*B9)),B9)</f>
        <v>20</v>
      </c>
      <c r="F11" t="s">
        <v>172</v>
      </c>
    </row>
    <row r="14" spans="1:6" ht="16" customHeight="1">
      <c r="A14" s="251" t="s">
        <v>986</v>
      </c>
    </row>
    <row r="15" spans="1:6" ht="14" customHeight="1">
      <c r="A15" t="s">
        <v>47</v>
      </c>
    </row>
    <row r="16" spans="1:6" ht="14" customHeight="1">
      <c r="A16" t="s">
        <v>987</v>
      </c>
      <c r="B16" s="220">
        <f>head!I40</f>
        <v>100</v>
      </c>
      <c r="C16" t="s">
        <v>267</v>
      </c>
      <c r="D16" t="s">
        <v>1017</v>
      </c>
      <c r="E16" s="220">
        <f>head!I21</f>
        <v>500</v>
      </c>
      <c r="F16" t="s">
        <v>181</v>
      </c>
    </row>
    <row r="17" spans="1:11" ht="14" customHeight="1">
      <c r="A17" t="s">
        <v>988</v>
      </c>
      <c r="B17" s="220">
        <f>head!I61</f>
        <v>50</v>
      </c>
      <c r="C17" t="s">
        <v>267</v>
      </c>
    </row>
    <row r="18" spans="1:11" ht="14" customHeight="1">
      <c r="A18" t="s">
        <v>47</v>
      </c>
    </row>
    <row r="20" spans="1:11" ht="16" customHeight="1">
      <c r="A20" s="251" t="s">
        <v>1050</v>
      </c>
    </row>
    <row r="22" spans="1:11" ht="14" customHeight="1">
      <c r="A22" s="33" t="s">
        <v>1009</v>
      </c>
      <c r="H22" s="263" t="s">
        <v>47</v>
      </c>
      <c r="I22" s="263" t="s">
        <v>46</v>
      </c>
      <c r="J22" s="263" t="s">
        <v>1019</v>
      </c>
      <c r="K22" s="263" t="s">
        <v>183</v>
      </c>
    </row>
    <row r="23" spans="1:11" ht="14" customHeight="1">
      <c r="A23" t="s">
        <v>1054</v>
      </c>
      <c r="B23" s="266">
        <f>$B8*B10*D6*($B8-B10)/1000000</f>
        <v>156.45411330782608</v>
      </c>
      <c r="C23" t="s">
        <v>267</v>
      </c>
      <c r="D23" t="s">
        <v>1013</v>
      </c>
      <c r="H23" s="219"/>
      <c r="I23" s="219"/>
      <c r="J23" s="264">
        <f>(B8^2-(B8^4-4*B8*MAX(B16,B17)*1000000/D6)^0.5)/(2*B8)</f>
        <v>9.4084847523213124</v>
      </c>
      <c r="K23" s="265">
        <f>E10-2*J23*B8</f>
        <v>6569.2092368039284</v>
      </c>
    </row>
    <row r="24" spans="1:11" ht="14" customHeight="1">
      <c r="A24" t="s">
        <v>1055</v>
      </c>
      <c r="B24" s="266">
        <f>E8*D6/1000000</f>
        <v>177.74263066666671</v>
      </c>
      <c r="C24" t="s">
        <v>267</v>
      </c>
      <c r="D24" t="s">
        <v>1015</v>
      </c>
      <c r="H24" s="268" t="s">
        <v>47</v>
      </c>
      <c r="I24" s="268">
        <f>((MAX(B16,B17)*1000000/D6-E8)/(-B10/2))^0.5</f>
        <v>169.47749502771052</v>
      </c>
      <c r="J24" s="264" t="s">
        <v>47</v>
      </c>
      <c r="K24" s="278">
        <f>2*I24*B10</f>
        <v>5168.6703484917507</v>
      </c>
    </row>
    <row r="25" spans="1:11" ht="14" customHeight="1">
      <c r="C25" t="s">
        <v>47</v>
      </c>
    </row>
    <row r="26" spans="1:11" ht="14" customHeight="1">
      <c r="A26" t="s">
        <v>987</v>
      </c>
      <c r="B26" s="220">
        <f>MAX(B16,B17)</f>
        <v>100</v>
      </c>
      <c r="C26" t="s">
        <v>1016</v>
      </c>
      <c r="D26" s="253" t="str">
        <f>IF(B26&gt;B24,"profiel voldoet niet!",IF(B26&lt;B23,"overgang in de flens","overgang in het lijf"))</f>
        <v>overgang in de flens</v>
      </c>
    </row>
    <row r="28" spans="1:11" ht="14" customHeight="1">
      <c r="A28" t="s">
        <v>1018</v>
      </c>
      <c r="D28" s="259">
        <f>IF(B26&gt;B24,"--",IF(B26&lt;B23,K23,K24))</f>
        <v>6569.2092368039284</v>
      </c>
      <c r="E28" t="s">
        <v>171</v>
      </c>
    </row>
    <row r="30" spans="1:11" ht="14" customHeight="1">
      <c r="A30" t="s">
        <v>1021</v>
      </c>
      <c r="B30" s="220">
        <f>D28*D6/1000</f>
        <v>2332.0692790653948</v>
      </c>
      <c r="C30" t="s">
        <v>1020</v>
      </c>
      <c r="D30" t="str">
        <f>IF(B26&gt;B24,"profiel voldoet niet!",IF(B30&lt;E16,"profiel voldoet niet!","profiel voldoet"))</f>
        <v>profiel voldoet</v>
      </c>
    </row>
    <row r="32" spans="1:11" ht="14" customHeight="1">
      <c r="A32" t="s">
        <v>1000</v>
      </c>
      <c r="D32">
        <f>IF(D6=235,VLOOKUP(B5,DBASE,27,FALSE),IF(D6=275,VLOOKUP(B5,DBASE,28,FALSE),IF(D6=355,VLOOKUP(B5,DBASE,29,FALSE),IF(D6=420,VLOOKUP(B5,DBASE,30,FALSE),VLOOKUP(B5,DBASE,31,FALSE)))))</f>
        <v>1</v>
      </c>
    </row>
    <row r="34" spans="1:16" ht="14" customHeight="1">
      <c r="A34" s="33" t="s">
        <v>994</v>
      </c>
      <c r="C34" s="260">
        <f>IF(D30="profiel voldoet niet!",D32,1)</f>
        <v>1</v>
      </c>
    </row>
    <row r="37" spans="1:16" ht="14" customHeight="1">
      <c r="A37" s="33" t="s">
        <v>999</v>
      </c>
    </row>
    <row r="38" spans="1:16" ht="14" customHeight="1">
      <c r="A38" t="s">
        <v>1023</v>
      </c>
    </row>
    <row r="39" spans="1:16" ht="14" customHeight="1">
      <c r="I39" s="1"/>
      <c r="J39" s="32"/>
    </row>
    <row r="40" spans="1:16" ht="14" customHeight="1">
      <c r="A40" t="s">
        <v>1005</v>
      </c>
      <c r="B40">
        <v>1</v>
      </c>
      <c r="C40">
        <v>2</v>
      </c>
      <c r="D40">
        <v>3</v>
      </c>
      <c r="E40">
        <v>4</v>
      </c>
      <c r="F40">
        <v>5</v>
      </c>
      <c r="G40">
        <v>6</v>
      </c>
      <c r="H40">
        <v>7</v>
      </c>
      <c r="I40" s="1">
        <v>8</v>
      </c>
      <c r="J40" s="1">
        <v>9</v>
      </c>
      <c r="K40">
        <v>10</v>
      </c>
      <c r="L40">
        <v>11</v>
      </c>
      <c r="M40">
        <v>12</v>
      </c>
      <c r="N40">
        <v>13</v>
      </c>
      <c r="O40">
        <v>14</v>
      </c>
      <c r="P40">
        <v>15</v>
      </c>
    </row>
    <row r="41" spans="1:16" s="219" customFormat="1" ht="14" customHeight="1">
      <c r="A41" s="219" t="s">
        <v>1056</v>
      </c>
      <c r="B41" s="267">
        <f>$B8*$B10*B48*($B8-$B10)/1000000</f>
        <v>122.23847718960756</v>
      </c>
      <c r="C41" s="267">
        <f>$B8*$B10*C48*($B8-$B10)/1000000</f>
        <v>105.13065913049832</v>
      </c>
      <c r="D41" s="267">
        <f t="shared" ref="D41:P41" si="0">$B8*$B10*D48*($B8-$B10)/1000000</f>
        <v>96.576750100943684</v>
      </c>
      <c r="E41" s="267">
        <f t="shared" si="0"/>
        <v>92.299795586166383</v>
      </c>
      <c r="F41" s="267">
        <f t="shared" si="0"/>
        <v>94.438272843555026</v>
      </c>
      <c r="G41" s="267">
        <f t="shared" si="0"/>
        <v>95.507511472249377</v>
      </c>
      <c r="H41" s="267">
        <f t="shared" si="0"/>
        <v>96.042130786596516</v>
      </c>
      <c r="I41" s="267">
        <f t="shared" si="0"/>
        <v>96.309440443770114</v>
      </c>
      <c r="J41" s="267">
        <f t="shared" si="0"/>
        <v>96.175785615183329</v>
      </c>
      <c r="K41" s="267">
        <f t="shared" si="0"/>
        <v>96.242613029476715</v>
      </c>
      <c r="L41" s="267">
        <f t="shared" si="0"/>
        <v>96.276026736623422</v>
      </c>
      <c r="M41" s="267">
        <f t="shared" si="0"/>
        <v>96.292733590196761</v>
      </c>
      <c r="N41" s="267">
        <f t="shared" si="0"/>
        <v>96.284380163410077</v>
      </c>
      <c r="O41" s="267">
        <f t="shared" si="0"/>
        <v>96.280203450016757</v>
      </c>
      <c r="P41" s="267">
        <f t="shared" si="0"/>
        <v>96.278115093320096</v>
      </c>
    </row>
    <row r="42" spans="1:16" s="219" customFormat="1" ht="14" customHeight="1">
      <c r="A42" s="219" t="s">
        <v>1057</v>
      </c>
      <c r="B42" s="267">
        <f>$E8*B48/1000000</f>
        <v>138.87131533333337</v>
      </c>
      <c r="C42" s="267">
        <f>$E8*C48/1000000</f>
        <v>119.43565766666667</v>
      </c>
      <c r="D42" s="267">
        <f t="shared" ref="D42:P42" si="1">$E8*D48/1000000</f>
        <v>109.71782883333334</v>
      </c>
      <c r="E42" s="267">
        <f t="shared" si="1"/>
        <v>104.85891441666669</v>
      </c>
      <c r="F42" s="267">
        <f t="shared" si="1"/>
        <v>107.28837162500001</v>
      </c>
      <c r="G42" s="267">
        <f t="shared" si="1"/>
        <v>108.50310022916669</v>
      </c>
      <c r="H42" s="267">
        <f t="shared" si="1"/>
        <v>109.11046453125002</v>
      </c>
      <c r="I42" s="267">
        <f t="shared" si="1"/>
        <v>109.41414668229169</v>
      </c>
      <c r="J42" s="267">
        <f t="shared" si="1"/>
        <v>109.26230560677084</v>
      </c>
      <c r="K42" s="267">
        <f t="shared" si="1"/>
        <v>109.33822614453126</v>
      </c>
      <c r="L42" s="267">
        <f t="shared" si="1"/>
        <v>109.37618641341149</v>
      </c>
      <c r="M42" s="267">
        <f t="shared" si="1"/>
        <v>109.39516654785157</v>
      </c>
      <c r="N42" s="267">
        <f t="shared" si="1"/>
        <v>109.38567648063153</v>
      </c>
      <c r="O42" s="267">
        <f t="shared" si="1"/>
        <v>109.3809314470215</v>
      </c>
      <c r="P42" s="267">
        <f t="shared" si="1"/>
        <v>109.37855893021649</v>
      </c>
    </row>
    <row r="43" spans="1:16" s="219" customFormat="1" ht="14" customHeight="1">
      <c r="A43" s="219" t="s">
        <v>46</v>
      </c>
      <c r="B43" s="268">
        <f>(($B26*1000000/B48-$E8)/(-$B10/2))^0.5</f>
        <v>135.57717044380348</v>
      </c>
      <c r="C43" s="268">
        <f>(($B26*1000000/C48-$E8)/(-$B10/2))^0.5</f>
        <v>103.3738853575658</v>
      </c>
      <c r="D43" s="268">
        <f t="shared" ref="D43:P43" si="2">(($B26*1000000/D48-$E8)/(-$B10/2))^0.5</f>
        <v>76.264818689813595</v>
      </c>
      <c r="E43" s="268">
        <f t="shared" si="2"/>
        <v>55.162655934447635</v>
      </c>
      <c r="F43" s="268">
        <f t="shared" si="2"/>
        <v>66.790877514291282</v>
      </c>
      <c r="G43" s="268">
        <f t="shared" si="2"/>
        <v>71.737427264479152</v>
      </c>
      <c r="H43" s="268">
        <f t="shared" si="2"/>
        <v>74.048332046238428</v>
      </c>
      <c r="I43" s="268">
        <f t="shared" si="2"/>
        <v>75.167821451686706</v>
      </c>
      <c r="J43" s="268">
        <f t="shared" si="2"/>
        <v>74.610954300177852</v>
      </c>
      <c r="K43" s="268">
        <f t="shared" si="2"/>
        <v>74.89009880524344</v>
      </c>
      <c r="L43" s="268">
        <f t="shared" si="2"/>
        <v>75.029136821845384</v>
      </c>
      <c r="M43" s="268">
        <f t="shared" si="2"/>
        <v>75.098523181366232</v>
      </c>
      <c r="N43" s="268">
        <f t="shared" si="2"/>
        <v>75.063841028799288</v>
      </c>
      <c r="O43" s="268">
        <f t="shared" si="2"/>
        <v>75.046491684130473</v>
      </c>
      <c r="P43" s="268">
        <f t="shared" si="2"/>
        <v>75.037814942941452</v>
      </c>
    </row>
    <row r="44" spans="1:16" s="219" customFormat="1" ht="14" customHeight="1">
      <c r="A44" s="219" t="s">
        <v>1019</v>
      </c>
      <c r="B44" s="264">
        <f>($B8^2-($B8^4-4*$B8*$B26*1000000/B48)^0.5)/(2*$B8)</f>
        <v>12.248588882855008</v>
      </c>
      <c r="C44" s="264">
        <f t="shared" ref="C44:P44" si="3">($B8^2-($B8^4-4*$B8*$B26*1000000/C48)^0.5)/(2*$B8)</f>
        <v>14.43214493367679</v>
      </c>
      <c r="D44" s="264">
        <f t="shared" si="3"/>
        <v>15.847737519016652</v>
      </c>
      <c r="E44" s="264">
        <f t="shared" si="3"/>
        <v>16.666324057511616</v>
      </c>
      <c r="F44" s="264">
        <f t="shared" si="3"/>
        <v>16.246610381837879</v>
      </c>
      <c r="G44" s="264">
        <f t="shared" si="3"/>
        <v>16.044668254660749</v>
      </c>
      <c r="H44" s="264">
        <f t="shared" si="3"/>
        <v>15.94558833204151</v>
      </c>
      <c r="I44" s="264">
        <f t="shared" si="3"/>
        <v>15.896510737372333</v>
      </c>
      <c r="J44" s="264">
        <f t="shared" si="3"/>
        <v>15.921011307796562</v>
      </c>
      <c r="K44" s="264">
        <f t="shared" si="3"/>
        <v>15.908751488430362</v>
      </c>
      <c r="L44" s="264">
        <f t="shared" si="3"/>
        <v>15.90262873217665</v>
      </c>
      <c r="M44" s="264">
        <f t="shared" si="3"/>
        <v>15.899569139944562</v>
      </c>
      <c r="N44" s="264">
        <f t="shared" si="3"/>
        <v>15.901098787309238</v>
      </c>
      <c r="O44" s="264">
        <f t="shared" si="3"/>
        <v>15.901863722549619</v>
      </c>
      <c r="P44" s="264">
        <f t="shared" si="3"/>
        <v>15.902246218064112</v>
      </c>
    </row>
    <row r="45" spans="1:16" s="219" customFormat="1" ht="14" customHeight="1">
      <c r="A45" s="219" t="s">
        <v>183</v>
      </c>
      <c r="B45" s="269">
        <f>IF($B26&gt;B42,"--",IF($B26&lt;B41,$E10-2*B44*$B8,2*B43*$B10))</f>
        <v>5559.2682079861461</v>
      </c>
      <c r="C45" s="269">
        <f t="shared" ref="C45:P45" si="4">IF($B26&gt;C42,"--",IF($B26&lt;C41,$E10-2*C44*$B8,2*C43*$B10))</f>
        <v>4782.7956763139209</v>
      </c>
      <c r="D45" s="269">
        <f t="shared" si="4"/>
        <v>2325.9000077307442</v>
      </c>
      <c r="E45" s="269">
        <f t="shared" si="4"/>
        <v>1682.3330084375727</v>
      </c>
      <c r="F45" s="269">
        <f t="shared" si="4"/>
        <v>2036.9667848903264</v>
      </c>
      <c r="G45" s="269">
        <f t="shared" si="4"/>
        <v>2187.8250744641423</v>
      </c>
      <c r="H45" s="269">
        <f t="shared" si="4"/>
        <v>2258.3023081624219</v>
      </c>
      <c r="I45" s="269">
        <f t="shared" si="4"/>
        <v>2292.4441374032017</v>
      </c>
      <c r="J45" s="269">
        <f t="shared" si="4"/>
        <v>2275.4609814179053</v>
      </c>
      <c r="K45" s="269">
        <f t="shared" si="4"/>
        <v>2283.9742411049274</v>
      </c>
      <c r="L45" s="269">
        <f t="shared" si="4"/>
        <v>2288.2145779921707</v>
      </c>
      <c r="M45" s="269">
        <f t="shared" si="4"/>
        <v>2290.3307009557925</v>
      </c>
      <c r="N45" s="269">
        <f t="shared" si="4"/>
        <v>2289.2729757777956</v>
      </c>
      <c r="O45" s="269">
        <f t="shared" si="4"/>
        <v>2288.7438610222298</v>
      </c>
      <c r="P45" s="269">
        <f t="shared" si="4"/>
        <v>2288.4792405491817</v>
      </c>
    </row>
    <row r="46" spans="1:16" ht="14" customHeight="1">
      <c r="A46" t="s">
        <v>1006</v>
      </c>
      <c r="B46" s="223">
        <f>MAX(E16*1000/E10,B16*1000000/E8)</f>
        <v>199.72698652455333</v>
      </c>
      <c r="C46" s="223">
        <f t="shared" ref="C46:P46" si="5">IF(B49&gt;$E16,B46,B48)</f>
        <v>199.72698652455333</v>
      </c>
      <c r="D46" s="223">
        <f t="shared" si="5"/>
        <v>199.72698652455333</v>
      </c>
      <c r="E46" s="223">
        <f t="shared" si="5"/>
        <v>199.72698652455333</v>
      </c>
      <c r="F46" s="223">
        <f t="shared" si="5"/>
        <v>209.43154986676876</v>
      </c>
      <c r="G46" s="223">
        <f t="shared" si="5"/>
        <v>214.28383153787647</v>
      </c>
      <c r="H46" s="223">
        <f t="shared" si="5"/>
        <v>216.70997237343033</v>
      </c>
      <c r="I46" s="223">
        <f t="shared" si="5"/>
        <v>217.92304279120725</v>
      </c>
      <c r="J46" s="223">
        <f t="shared" si="5"/>
        <v>217.92304279120725</v>
      </c>
      <c r="K46" s="223">
        <f t="shared" si="5"/>
        <v>218.22631039565147</v>
      </c>
      <c r="L46" s="223">
        <f t="shared" si="5"/>
        <v>218.3779441978736</v>
      </c>
      <c r="M46" s="223">
        <f t="shared" si="5"/>
        <v>218.45376109898467</v>
      </c>
      <c r="N46" s="223">
        <f t="shared" si="5"/>
        <v>218.45376109898467</v>
      </c>
      <c r="O46" s="223">
        <f t="shared" si="5"/>
        <v>218.45376109898467</v>
      </c>
      <c r="P46" s="223">
        <f t="shared" si="5"/>
        <v>218.45376109898467</v>
      </c>
    </row>
    <row r="47" spans="1:16" ht="14" customHeight="1">
      <c r="A47" t="s">
        <v>1007</v>
      </c>
      <c r="B47" s="223">
        <f>D6</f>
        <v>355</v>
      </c>
      <c r="C47" s="223">
        <f t="shared" ref="C47:P47" si="6">IF(B49&gt;$E16,B48,B47)</f>
        <v>277.36349326227668</v>
      </c>
      <c r="D47" s="223">
        <f t="shared" si="6"/>
        <v>238.54523989341499</v>
      </c>
      <c r="E47" s="223">
        <f t="shared" si="6"/>
        <v>219.13611320898417</v>
      </c>
      <c r="F47" s="223">
        <f t="shared" si="6"/>
        <v>219.13611320898417</v>
      </c>
      <c r="G47" s="223">
        <f t="shared" si="6"/>
        <v>219.13611320898417</v>
      </c>
      <c r="H47" s="223">
        <f t="shared" si="6"/>
        <v>219.13611320898417</v>
      </c>
      <c r="I47" s="223">
        <f t="shared" si="6"/>
        <v>219.13611320898417</v>
      </c>
      <c r="J47" s="223">
        <f t="shared" si="6"/>
        <v>218.52957800009571</v>
      </c>
      <c r="K47" s="223">
        <f t="shared" si="6"/>
        <v>218.52957800009571</v>
      </c>
      <c r="L47" s="223">
        <f t="shared" si="6"/>
        <v>218.52957800009571</v>
      </c>
      <c r="M47" s="223">
        <f t="shared" si="6"/>
        <v>218.52957800009571</v>
      </c>
      <c r="N47" s="223">
        <f t="shared" si="6"/>
        <v>218.49166954954018</v>
      </c>
      <c r="O47" s="223">
        <f t="shared" si="6"/>
        <v>218.47271532426242</v>
      </c>
      <c r="P47" s="223">
        <f t="shared" si="6"/>
        <v>218.46323821162355</v>
      </c>
    </row>
    <row r="48" spans="1:16" ht="14" customHeight="1">
      <c r="A48" t="s">
        <v>1008</v>
      </c>
      <c r="B48" s="223">
        <f t="shared" ref="B48:P48" si="7">(B46+B47)/2</f>
        <v>277.36349326227668</v>
      </c>
      <c r="C48" s="223">
        <f t="shared" si="7"/>
        <v>238.54523989341499</v>
      </c>
      <c r="D48" s="223">
        <f t="shared" si="7"/>
        <v>219.13611320898417</v>
      </c>
      <c r="E48" s="223">
        <f t="shared" si="7"/>
        <v>209.43154986676876</v>
      </c>
      <c r="F48" s="223">
        <f t="shared" si="7"/>
        <v>214.28383153787647</v>
      </c>
      <c r="G48" s="223">
        <f t="shared" si="7"/>
        <v>216.70997237343033</v>
      </c>
      <c r="H48" s="223">
        <f t="shared" si="7"/>
        <v>217.92304279120725</v>
      </c>
      <c r="I48" s="223">
        <f t="shared" si="7"/>
        <v>218.52957800009571</v>
      </c>
      <c r="J48" s="223">
        <f t="shared" si="7"/>
        <v>218.22631039565147</v>
      </c>
      <c r="K48" s="223">
        <f t="shared" si="7"/>
        <v>218.3779441978736</v>
      </c>
      <c r="L48" s="223">
        <f t="shared" si="7"/>
        <v>218.45376109898467</v>
      </c>
      <c r="M48" s="223">
        <f t="shared" si="7"/>
        <v>218.49166954954018</v>
      </c>
      <c r="N48" s="223">
        <f t="shared" si="7"/>
        <v>218.47271532426242</v>
      </c>
      <c r="O48" s="223">
        <f t="shared" si="7"/>
        <v>218.46323821162355</v>
      </c>
      <c r="P48" s="272">
        <f t="shared" si="7"/>
        <v>218.45849965530411</v>
      </c>
    </row>
    <row r="49" spans="1:16" ht="14" customHeight="1">
      <c r="A49" t="s">
        <v>1024</v>
      </c>
      <c r="B49" s="220">
        <f t="shared" ref="B49:P49" si="8">B45*B48/1000</f>
        <v>1541.9380501489543</v>
      </c>
      <c r="C49" s="220">
        <f t="shared" si="8"/>
        <v>1140.9131419674923</v>
      </c>
      <c r="D49" s="220">
        <f t="shared" si="8"/>
        <v>509.6886874068615</v>
      </c>
      <c r="E49" s="220">
        <f t="shared" si="8"/>
        <v>352.33360934910462</v>
      </c>
      <c r="F49" s="220">
        <f t="shared" si="8"/>
        <v>436.48904738168852</v>
      </c>
      <c r="G49" s="220">
        <f t="shared" si="8"/>
        <v>474.12351144502242</v>
      </c>
      <c r="H49" s="220">
        <f t="shared" si="8"/>
        <v>492.13611053716158</v>
      </c>
      <c r="I49" s="220">
        <f t="shared" si="8"/>
        <v>500.96684993551509</v>
      </c>
      <c r="J49" s="220">
        <f t="shared" si="8"/>
        <v>496.56545442409748</v>
      </c>
      <c r="K49" s="220">
        <f t="shared" si="8"/>
        <v>498.76959937339251</v>
      </c>
      <c r="L49" s="220">
        <f t="shared" si="8"/>
        <v>499.86908076391569</v>
      </c>
      <c r="M49" s="220">
        <f t="shared" si="8"/>
        <v>500.41817867239973</v>
      </c>
      <c r="N49" s="220">
        <f t="shared" si="8"/>
        <v>500.14368313662948</v>
      </c>
      <c r="O49" s="220">
        <f t="shared" si="8"/>
        <v>500.00639531589042</v>
      </c>
      <c r="P49" s="220">
        <f t="shared" si="8"/>
        <v>499.93774138268401</v>
      </c>
    </row>
    <row r="50" spans="1:16" ht="14" customHeight="1">
      <c r="A50" s="262" t="s">
        <v>46</v>
      </c>
      <c r="B50" s="270">
        <f>IF($B26&lt;B42,1,($B8/2+B43/2-$B10-#REF!)/($B8-2*$B10-2*#REF!))</f>
        <v>1</v>
      </c>
      <c r="C50" s="270">
        <f>IF($B26&lt;C42,1,($B8/2+C43/2-$B10-#REF!)/($B8-2*$B10-2*#REF!))</f>
        <v>1</v>
      </c>
      <c r="D50" s="270">
        <f>IF($B26&lt;D42,1,($B8/2+D43/2-$B10-#REF!)/($B8-2*$B10-2*#REF!))</f>
        <v>1</v>
      </c>
      <c r="E50" s="270">
        <f>IF($B26&lt;E42,1,($B8/2+E43/2-$B10-#REF!)/($B8-2*$B10-2*#REF!))</f>
        <v>1</v>
      </c>
      <c r="F50" s="270">
        <f>IF($B26&lt;F42,1,($B8/2+F43/2-$B10-#REF!)/($B8-2*$B10-2*#REF!))</f>
        <v>1</v>
      </c>
      <c r="G50" s="270">
        <f>IF($B26&lt;G42,1,($B8/2+G43/2-$B10-#REF!)/($B8-2*$B10-2*#REF!))</f>
        <v>1</v>
      </c>
      <c r="H50" s="270">
        <f>IF($B26&lt;H42,1,($B8/2+H43/2-$B10-#REF!)/($B8-2*$B10-2*#REF!))</f>
        <v>1</v>
      </c>
      <c r="I50" s="270">
        <f>IF($B26&lt;I42,1,($B8/2+I43/2-$B10-#REF!)/($B8-2*$B10-2*#REF!))</f>
        <v>1</v>
      </c>
      <c r="J50" s="270">
        <f>IF($B26&lt;J42,1,($B8/2+J43/2-$B10-#REF!)/($B8-2*$B10-2*#REF!))</f>
        <v>1</v>
      </c>
      <c r="K50" s="270">
        <f>IF($B26&lt;K42,1,($B8/2+K43/2-$B10-#REF!)/($B8-2*$B10-2*#REF!))</f>
        <v>1</v>
      </c>
      <c r="L50" s="270">
        <f>IF($B26&lt;L42,1,($B8/2+L43/2-$B10-#REF!)/($B8-2*$B10-2*#REF!))</f>
        <v>1</v>
      </c>
      <c r="M50" s="270">
        <f>IF($B26&lt;M42,1,($B8/2+M43/2-$B10-#REF!)/($B8-2*$B10-2*#REF!))</f>
        <v>1</v>
      </c>
      <c r="N50" s="270">
        <f>IF($B26&lt;N42,1,($B8/2+N43/2-$B10-#REF!)/($B8-2*$B10-2*#REF!))</f>
        <v>1</v>
      </c>
      <c r="O50" s="270">
        <f>IF($B26&lt;O42,1,($B8/2+O43/2-$B10-#REF!)/($B8-2*$B10-2*#REF!))</f>
        <v>1</v>
      </c>
      <c r="P50" s="271">
        <f>IF($B26&lt;P42,1,($B8/2+P43/2-$B10-#REF!)/($B8-2*$B10-2*#REF!))</f>
        <v>1</v>
      </c>
    </row>
    <row r="52" spans="1:16" ht="14" customHeight="1">
      <c r="A52" s="33" t="s">
        <v>991</v>
      </c>
    </row>
    <row r="53" spans="1:16" ht="14" customHeight="1">
      <c r="A53" t="s">
        <v>992</v>
      </c>
      <c r="C53" s="261">
        <f>(B8-2*(B9+B11+E11)/2)/B9</f>
        <v>5.8900000000000006</v>
      </c>
      <c r="D53" s="261" t="s">
        <v>47</v>
      </c>
    </row>
    <row r="55" spans="1:16" ht="14" customHeight="1">
      <c r="A55" t="s">
        <v>993</v>
      </c>
    </row>
    <row r="56" spans="1:16" ht="14" customHeight="1">
      <c r="A56" t="s">
        <v>1028</v>
      </c>
      <c r="C56" s="261">
        <f>396*(235/P48)^0.5*0.85/(13*P50-1)</f>
        <v>29.092585772277904</v>
      </c>
    </row>
    <row r="58" spans="1:16" ht="14" customHeight="1">
      <c r="A58" t="s">
        <v>995</v>
      </c>
    </row>
    <row r="59" spans="1:16" ht="14" customHeight="1">
      <c r="A59" t="s">
        <v>1029</v>
      </c>
      <c r="C59" s="261">
        <f>456*(235/P48)^0.5*0.85/(13*P50-1)</f>
        <v>33.50055331353213</v>
      </c>
    </row>
    <row r="61" spans="1:16" ht="14" customHeight="1">
      <c r="A61" s="33" t="s">
        <v>994</v>
      </c>
      <c r="C61" s="260">
        <f>IF(C53&lt;=C56,1,IF(C53&lt;=C59,2,3))</f>
        <v>1</v>
      </c>
      <c r="E61" t="str">
        <f>IF(C61=3,"Nog te controleren!","")</f>
        <v/>
      </c>
    </row>
    <row r="64" spans="1:16" ht="14" customHeight="1">
      <c r="A64" s="33" t="s">
        <v>1030</v>
      </c>
    </row>
    <row r="65" spans="1:6" ht="14" customHeight="1">
      <c r="A65" t="s">
        <v>1058</v>
      </c>
    </row>
    <row r="66" spans="1:6" ht="14" customHeight="1">
      <c r="A66" t="s">
        <v>1032</v>
      </c>
      <c r="B66" s="261">
        <f>B26*1000000/E9+E16*1000/E10</f>
        <v>333.94034033384554</v>
      </c>
    </row>
    <row r="67" spans="1:6" ht="14" customHeight="1">
      <c r="A67" t="s">
        <v>1033</v>
      </c>
      <c r="B67" s="261">
        <f>-B26*1000000/E9+E16*1000/E10</f>
        <v>-233.0816945214911</v>
      </c>
    </row>
    <row r="68" spans="1:6" ht="14" customHeight="1">
      <c r="A68" t="s">
        <v>1034</v>
      </c>
      <c r="B68" s="270">
        <f>B67/B66</f>
        <v>-0.69797405814606162</v>
      </c>
    </row>
    <row r="70" spans="1:6" ht="14" customHeight="1">
      <c r="A70" s="33" t="s">
        <v>991</v>
      </c>
    </row>
    <row r="71" spans="1:6" ht="14" customHeight="1">
      <c r="A71" t="s">
        <v>992</v>
      </c>
      <c r="D71" s="261">
        <f>C53</f>
        <v>5.8900000000000006</v>
      </c>
      <c r="E71" s="261" t="s">
        <v>47</v>
      </c>
    </row>
    <row r="73" spans="1:6" ht="14" customHeight="1">
      <c r="A73" t="s">
        <v>996</v>
      </c>
    </row>
    <row r="74" spans="1:6" ht="14" customHeight="1">
      <c r="A74" t="s">
        <v>1035</v>
      </c>
      <c r="D74" s="261">
        <f>42*(235/B66)^0.5*0.85/(0.67+0.33*B68)</f>
        <v>68.114926559081837</v>
      </c>
    </row>
    <row r="76" spans="1:6" ht="14" customHeight="1">
      <c r="A76" s="33" t="s">
        <v>994</v>
      </c>
      <c r="D76" s="279" t="str">
        <f>IF(C61&lt;3,"--",IF(D71&lt;=D74,3,4))</f>
        <v>--</v>
      </c>
      <c r="F76" s="253"/>
    </row>
    <row r="77" spans="1:6" ht="14" customHeight="1">
      <c r="A77" s="33"/>
      <c r="D77" s="33"/>
      <c r="F77" s="253"/>
    </row>
    <row r="79" spans="1:6" s="274" customFormat="1" ht="16" customHeight="1">
      <c r="A79" s="273" t="s">
        <v>1036</v>
      </c>
      <c r="B79" s="273"/>
      <c r="C79" s="275"/>
      <c r="D79" s="276">
        <f>IFERROR(MAX(D76,C61,C34),"--")</f>
        <v>1</v>
      </c>
      <c r="E79" s="274" t="str">
        <f>IF(OR(D26="profiel voldoet niet!",D30="profiel voldoet niet!"),"  Het gekozen profiel voldoet niet!","")</f>
        <v/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8</vt:i4>
      </vt:variant>
      <vt:variant>
        <vt:lpstr>Benoemde bereiken</vt:lpstr>
      </vt:variant>
      <vt:variant>
        <vt:i4>11</vt:i4>
      </vt:variant>
    </vt:vector>
  </HeadingPairs>
  <TitlesOfParts>
    <vt:vector size="19" baseType="lpstr">
      <vt:lpstr>head</vt:lpstr>
      <vt:lpstr>ky-kE-kp</vt:lpstr>
      <vt:lpstr>database</vt:lpstr>
      <vt:lpstr>My,max</vt:lpstr>
      <vt:lpstr>Mz,max</vt:lpstr>
      <vt:lpstr>Doorsnedeklasse wals</vt:lpstr>
      <vt:lpstr>Doorsnedeklasse rond</vt:lpstr>
      <vt:lpstr>Doorsnedeklasse vierkant</vt:lpstr>
      <vt:lpstr>head!Afdrukbereik</vt:lpstr>
      <vt:lpstr>database!Afdruktitels</vt:lpstr>
      <vt:lpstr>CFCHS</vt:lpstr>
      <vt:lpstr>CFSHS</vt:lpstr>
      <vt:lpstr>DBASE</vt:lpstr>
      <vt:lpstr>HEA</vt:lpstr>
      <vt:lpstr>HEB</vt:lpstr>
      <vt:lpstr>HEM</vt:lpstr>
      <vt:lpstr>HFCHS</vt:lpstr>
      <vt:lpstr>HFSHS</vt:lpstr>
      <vt:lpstr>IPE</vt:lpstr>
    </vt:vector>
  </TitlesOfParts>
  <Company>Bouwen met Staal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Facturatie </cp:lastModifiedBy>
  <cp:lastPrinted>2022-11-24T16:43:21Z</cp:lastPrinted>
  <dcterms:created xsi:type="dcterms:W3CDTF">2007-01-15T15:08:35Z</dcterms:created>
  <dcterms:modified xsi:type="dcterms:W3CDTF">2022-11-24T16:45:38Z</dcterms:modified>
</cp:coreProperties>
</file>