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codeName="ThisWorkbook"/>
  <mc:AlternateContent xmlns:mc="http://schemas.openxmlformats.org/markup-compatibility/2006">
    <mc:Choice Requires="x15">
      <x15ac:absPath xmlns:x15ac="http://schemas.microsoft.com/office/spreadsheetml/2010/11/ac" url="https://bouwenmetstaal-my.sharepoint.com/personal/bennie_bouwenmetstaal_nl/Documents/Brandinformatiesysteem/Spreadsheets/"/>
    </mc:Choice>
  </mc:AlternateContent>
  <xr:revisionPtr revIDLastSave="33" documentId="10_ncr:8000_{908DDDC4-FF45-F74C-BEDD-C633E57A3FBE}" xr6:coauthVersionLast="47" xr6:coauthVersionMax="47" xr10:uidLastSave="{9D0B62FD-42B7-C145-9FEB-C4FF432AFF31}"/>
  <workbookProtection workbookAlgorithmName="SHA-512" workbookHashValue="JQ31DPcAB1BsPila7QGhoz7+Q7/ekjobCD81rWkfvS8kU5tNg5fWxvE45L87mwXPefiytzdHplnlEu1We+EopA==" workbookSaltValue="Z9F81gaDIxnlfbPmaKoW0g==" workbookSpinCount="100000" lockStructure="1"/>
  <bookViews>
    <workbookView xWindow="0" yWindow="0" windowWidth="51200" windowHeight="28800" tabRatio="794" xr2:uid="{00000000-000D-0000-FFFF-FFFF00000000}"/>
  </bookViews>
  <sheets>
    <sheet name="head" sheetId="1" r:id="rId1"/>
    <sheet name="ky" sheetId="7" state="hidden" r:id="rId2"/>
    <sheet name="database" sheetId="5" state="hidden" r:id="rId3"/>
  </sheets>
  <definedNames>
    <definedName name="_xlnm.Print_Area" localSheetId="0">head!$A:$J</definedName>
    <definedName name="_xlnm.Print_Titles" localSheetId="2">database!$1:$3</definedName>
    <definedName name="DBASE">database!$A$4:$AM$122</definedName>
    <definedName name="HEA">database!$B$4:$AM$28</definedName>
    <definedName name="HEAA">database!$B$29:$AM$53</definedName>
    <definedName name="HEB">database!$B$54:$AM$78</definedName>
    <definedName name="HEM">database!$B$79:$AM$103</definedName>
    <definedName name="IPE">database!$B$104:$AM$122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5" l="1"/>
  <c r="B41" i="5"/>
  <c r="C34" i="5"/>
  <c r="B34" i="5"/>
  <c r="C37" i="5"/>
  <c r="B37" i="5"/>
  <c r="C39" i="5"/>
  <c r="B39" i="5"/>
  <c r="C30" i="5"/>
  <c r="B30" i="5"/>
  <c r="E30" i="5"/>
  <c r="D30" i="5"/>
  <c r="C31" i="5"/>
  <c r="B31" i="5"/>
  <c r="E31" i="5"/>
  <c r="D31" i="5"/>
  <c r="C32" i="5"/>
  <c r="B32" i="5"/>
  <c r="E32" i="5"/>
  <c r="D32" i="5"/>
  <c r="C33" i="5"/>
  <c r="B33" i="5"/>
  <c r="E33" i="5"/>
  <c r="D33" i="5"/>
  <c r="E34" i="5"/>
  <c r="D34" i="5"/>
  <c r="C35" i="5"/>
  <c r="B35" i="5"/>
  <c r="E35" i="5"/>
  <c r="D35" i="5"/>
  <c r="C36" i="5"/>
  <c r="B36" i="5"/>
  <c r="E36" i="5"/>
  <c r="D36" i="5"/>
  <c r="E37" i="5"/>
  <c r="D37" i="5"/>
  <c r="C38" i="5"/>
  <c r="B38" i="5"/>
  <c r="E38" i="5"/>
  <c r="D38" i="5"/>
  <c r="E39" i="5"/>
  <c r="D39" i="5"/>
  <c r="C40" i="5"/>
  <c r="B40" i="5"/>
  <c r="E40" i="5"/>
  <c r="D40" i="5"/>
  <c r="E41" i="5"/>
  <c r="D41" i="5"/>
  <c r="C42" i="5"/>
  <c r="B42" i="5"/>
  <c r="E42" i="5"/>
  <c r="D42" i="5"/>
  <c r="C43" i="5"/>
  <c r="B43" i="5"/>
  <c r="E43" i="5"/>
  <c r="D43" i="5"/>
  <c r="C44" i="5"/>
  <c r="B44" i="5"/>
  <c r="E44" i="5"/>
  <c r="D44" i="5"/>
  <c r="C45" i="5"/>
  <c r="B45" i="5"/>
  <c r="E45" i="5"/>
  <c r="D45" i="5"/>
  <c r="C46" i="5"/>
  <c r="B46" i="5"/>
  <c r="E46" i="5"/>
  <c r="D46" i="5"/>
  <c r="C47" i="5"/>
  <c r="B47" i="5"/>
  <c r="E47" i="5"/>
  <c r="D47" i="5"/>
  <c r="C48" i="5"/>
  <c r="B48" i="5"/>
  <c r="E48" i="5"/>
  <c r="D48" i="5"/>
  <c r="C49" i="5"/>
  <c r="B49" i="5"/>
  <c r="E49" i="5"/>
  <c r="D49" i="5"/>
  <c r="C50" i="5"/>
  <c r="B50" i="5"/>
  <c r="E50" i="5"/>
  <c r="D50" i="5"/>
  <c r="C51" i="5"/>
  <c r="B51" i="5"/>
  <c r="E51" i="5"/>
  <c r="D51" i="5"/>
  <c r="C52" i="5"/>
  <c r="B52" i="5"/>
  <c r="E52" i="5"/>
  <c r="D52" i="5"/>
  <c r="C53" i="5"/>
  <c r="B53" i="5"/>
  <c r="E53" i="5"/>
  <c r="D53" i="5"/>
  <c r="C16" i="5"/>
  <c r="B16" i="5"/>
  <c r="C9" i="5"/>
  <c r="B9" i="5"/>
  <c r="C12" i="5"/>
  <c r="B12" i="5"/>
  <c r="C14" i="5"/>
  <c r="B14" i="5"/>
  <c r="C5" i="5"/>
  <c r="B5" i="5"/>
  <c r="E5" i="5"/>
  <c r="D5" i="5"/>
  <c r="C6" i="5"/>
  <c r="B6" i="5"/>
  <c r="E6" i="5"/>
  <c r="D6" i="5"/>
  <c r="C7" i="5"/>
  <c r="B7" i="5"/>
  <c r="E7" i="5"/>
  <c r="D7" i="5"/>
  <c r="C8" i="5"/>
  <c r="B8" i="5"/>
  <c r="E8" i="5"/>
  <c r="D8" i="5"/>
  <c r="E9" i="5"/>
  <c r="D9" i="5"/>
  <c r="C10" i="5"/>
  <c r="B10" i="5"/>
  <c r="E10" i="5"/>
  <c r="D10" i="5"/>
  <c r="C11" i="5"/>
  <c r="B11" i="5"/>
  <c r="E11" i="5"/>
  <c r="D11" i="5"/>
  <c r="E12" i="5"/>
  <c r="D12" i="5"/>
  <c r="C13" i="5"/>
  <c r="B13" i="5"/>
  <c r="E13" i="5"/>
  <c r="D13" i="5"/>
  <c r="E14" i="5"/>
  <c r="D14" i="5"/>
  <c r="C15" i="5"/>
  <c r="B15" i="5"/>
  <c r="E15" i="5"/>
  <c r="D15" i="5"/>
  <c r="E16" i="5"/>
  <c r="D16" i="5"/>
  <c r="C17" i="5"/>
  <c r="B17" i="5"/>
  <c r="E17" i="5"/>
  <c r="D17" i="5"/>
  <c r="C18" i="5"/>
  <c r="B18" i="5"/>
  <c r="E18" i="5"/>
  <c r="D18" i="5"/>
  <c r="C19" i="5"/>
  <c r="B19" i="5"/>
  <c r="E19" i="5"/>
  <c r="D19" i="5"/>
  <c r="C20" i="5"/>
  <c r="B20" i="5"/>
  <c r="E20" i="5"/>
  <c r="D20" i="5"/>
  <c r="C21" i="5"/>
  <c r="B21" i="5"/>
  <c r="E21" i="5"/>
  <c r="D21" i="5"/>
  <c r="C22" i="5"/>
  <c r="B22" i="5"/>
  <c r="E22" i="5"/>
  <c r="D22" i="5"/>
  <c r="C23" i="5"/>
  <c r="B23" i="5"/>
  <c r="E23" i="5"/>
  <c r="D23" i="5"/>
  <c r="C24" i="5"/>
  <c r="B24" i="5"/>
  <c r="E24" i="5"/>
  <c r="D24" i="5"/>
  <c r="C25" i="5"/>
  <c r="B25" i="5"/>
  <c r="E25" i="5"/>
  <c r="D25" i="5"/>
  <c r="C26" i="5"/>
  <c r="B26" i="5"/>
  <c r="E26" i="5"/>
  <c r="D26" i="5"/>
  <c r="C27" i="5"/>
  <c r="B27" i="5"/>
  <c r="E27" i="5"/>
  <c r="D27" i="5"/>
  <c r="C28" i="5"/>
  <c r="B28" i="5"/>
  <c r="E28" i="5"/>
  <c r="D28" i="5"/>
  <c r="G41" i="1"/>
  <c r="G48" i="1"/>
  <c r="G51" i="1"/>
  <c r="C66" i="5"/>
  <c r="B66" i="5"/>
  <c r="C59" i="5"/>
  <c r="B59" i="5"/>
  <c r="C56" i="5"/>
  <c r="B56" i="5"/>
  <c r="C57" i="5"/>
  <c r="B57" i="5"/>
  <c r="AM54" i="5"/>
  <c r="C55" i="5"/>
  <c r="B55" i="5"/>
  <c r="E55" i="5"/>
  <c r="D55" i="5"/>
  <c r="AI55" i="5"/>
  <c r="AJ55" i="5"/>
  <c r="AK55" i="5"/>
  <c r="AL55" i="5"/>
  <c r="AM55" i="5"/>
  <c r="E56" i="5"/>
  <c r="D56" i="5"/>
  <c r="AI56" i="5"/>
  <c r="AJ56" i="5"/>
  <c r="AK56" i="5"/>
  <c r="AL56" i="5"/>
  <c r="AM56" i="5"/>
  <c r="E57" i="5"/>
  <c r="D57" i="5"/>
  <c r="AI57" i="5"/>
  <c r="AJ57" i="5"/>
  <c r="AK57" i="5"/>
  <c r="AL57" i="5"/>
  <c r="AM57" i="5"/>
  <c r="C58" i="5"/>
  <c r="B58" i="5"/>
  <c r="E58" i="5"/>
  <c r="D58" i="5"/>
  <c r="AI58" i="5"/>
  <c r="AJ58" i="5"/>
  <c r="AK58" i="5"/>
  <c r="AL58" i="5"/>
  <c r="AM58" i="5"/>
  <c r="E59" i="5"/>
  <c r="D59" i="5"/>
  <c r="AI59" i="5"/>
  <c r="AJ59" i="5"/>
  <c r="AK59" i="5"/>
  <c r="AL59" i="5"/>
  <c r="AM59" i="5"/>
  <c r="C60" i="5"/>
  <c r="B60" i="5"/>
  <c r="E60" i="5"/>
  <c r="D60" i="5"/>
  <c r="AI60" i="5"/>
  <c r="AJ60" i="5"/>
  <c r="AK60" i="5"/>
  <c r="AL60" i="5"/>
  <c r="AM60" i="5"/>
  <c r="C61" i="5"/>
  <c r="B61" i="5"/>
  <c r="E61" i="5"/>
  <c r="D61" i="5"/>
  <c r="AI61" i="5"/>
  <c r="AJ61" i="5"/>
  <c r="AK61" i="5"/>
  <c r="AL61" i="5"/>
  <c r="AM61" i="5"/>
  <c r="C62" i="5"/>
  <c r="B62" i="5"/>
  <c r="E62" i="5"/>
  <c r="D62" i="5"/>
  <c r="AI62" i="5"/>
  <c r="AJ62" i="5"/>
  <c r="AK62" i="5"/>
  <c r="AL62" i="5"/>
  <c r="AM62" i="5"/>
  <c r="C63" i="5"/>
  <c r="B63" i="5"/>
  <c r="E63" i="5"/>
  <c r="D63" i="5"/>
  <c r="AI63" i="5"/>
  <c r="AJ63" i="5"/>
  <c r="AK63" i="5"/>
  <c r="AL63" i="5"/>
  <c r="AM63" i="5"/>
  <c r="C64" i="5"/>
  <c r="B64" i="5"/>
  <c r="E64" i="5"/>
  <c r="D64" i="5"/>
  <c r="AI64" i="5"/>
  <c r="AJ64" i="5"/>
  <c r="AK64" i="5"/>
  <c r="AL64" i="5"/>
  <c r="AM64" i="5"/>
  <c r="C65" i="5"/>
  <c r="B65" i="5"/>
  <c r="E65" i="5"/>
  <c r="D65" i="5"/>
  <c r="AI65" i="5"/>
  <c r="AJ65" i="5"/>
  <c r="AK65" i="5"/>
  <c r="AL65" i="5"/>
  <c r="AM65" i="5"/>
  <c r="E66" i="5"/>
  <c r="D66" i="5"/>
  <c r="AI66" i="5"/>
  <c r="AJ66" i="5"/>
  <c r="AK66" i="5"/>
  <c r="AL66" i="5"/>
  <c r="AM66" i="5"/>
  <c r="C67" i="5"/>
  <c r="B67" i="5"/>
  <c r="E67" i="5"/>
  <c r="D67" i="5"/>
  <c r="AI67" i="5"/>
  <c r="AJ67" i="5"/>
  <c r="AK67" i="5"/>
  <c r="AL67" i="5"/>
  <c r="AM67" i="5"/>
  <c r="C68" i="5"/>
  <c r="B68" i="5"/>
  <c r="E68" i="5"/>
  <c r="D68" i="5"/>
  <c r="AI68" i="5"/>
  <c r="AJ68" i="5"/>
  <c r="AK68" i="5"/>
  <c r="AL68" i="5"/>
  <c r="AM68" i="5"/>
  <c r="C69" i="5"/>
  <c r="B69" i="5"/>
  <c r="E69" i="5"/>
  <c r="D69" i="5"/>
  <c r="AI69" i="5"/>
  <c r="AJ69" i="5"/>
  <c r="AK69" i="5"/>
  <c r="AL69" i="5"/>
  <c r="AM69" i="5"/>
  <c r="C70" i="5"/>
  <c r="B70" i="5"/>
  <c r="E70" i="5"/>
  <c r="D70" i="5"/>
  <c r="AI70" i="5"/>
  <c r="AJ70" i="5"/>
  <c r="AK70" i="5"/>
  <c r="AL70" i="5"/>
  <c r="AM70" i="5"/>
  <c r="C71" i="5"/>
  <c r="B71" i="5"/>
  <c r="E71" i="5"/>
  <c r="D71" i="5"/>
  <c r="AI71" i="5"/>
  <c r="AJ71" i="5"/>
  <c r="AK71" i="5"/>
  <c r="AL71" i="5"/>
  <c r="AM71" i="5"/>
  <c r="C72" i="5"/>
  <c r="B72" i="5"/>
  <c r="E72" i="5"/>
  <c r="D72" i="5"/>
  <c r="AI72" i="5"/>
  <c r="AJ72" i="5"/>
  <c r="AK72" i="5"/>
  <c r="AL72" i="5"/>
  <c r="AM72" i="5"/>
  <c r="C73" i="5"/>
  <c r="B73" i="5"/>
  <c r="E73" i="5"/>
  <c r="D73" i="5"/>
  <c r="AI73" i="5"/>
  <c r="AJ73" i="5"/>
  <c r="AK73" i="5"/>
  <c r="AL73" i="5"/>
  <c r="AM73" i="5"/>
  <c r="C74" i="5"/>
  <c r="B74" i="5"/>
  <c r="E74" i="5"/>
  <c r="D74" i="5"/>
  <c r="AI74" i="5"/>
  <c r="AJ74" i="5"/>
  <c r="AK74" i="5"/>
  <c r="AL74" i="5"/>
  <c r="AM74" i="5"/>
  <c r="C75" i="5"/>
  <c r="B75" i="5"/>
  <c r="E75" i="5"/>
  <c r="D75" i="5"/>
  <c r="AI75" i="5"/>
  <c r="AJ75" i="5"/>
  <c r="AK75" i="5"/>
  <c r="AL75" i="5"/>
  <c r="AM75" i="5"/>
  <c r="C76" i="5"/>
  <c r="B76" i="5"/>
  <c r="E76" i="5"/>
  <c r="D76" i="5"/>
  <c r="AI76" i="5"/>
  <c r="AJ76" i="5"/>
  <c r="AK76" i="5"/>
  <c r="AL76" i="5"/>
  <c r="AM76" i="5"/>
  <c r="C77" i="5"/>
  <c r="B77" i="5"/>
  <c r="E77" i="5"/>
  <c r="D77" i="5"/>
  <c r="AI77" i="5"/>
  <c r="AJ77" i="5"/>
  <c r="AK77" i="5"/>
  <c r="AL77" i="5"/>
  <c r="AM77" i="5"/>
  <c r="C78" i="5"/>
  <c r="B78" i="5"/>
  <c r="E78" i="5"/>
  <c r="D78" i="5"/>
  <c r="AI78" i="5"/>
  <c r="AJ78" i="5"/>
  <c r="AK78" i="5"/>
  <c r="AL78" i="5"/>
  <c r="E60" i="1"/>
  <c r="F62" i="1"/>
  <c r="AM52" i="5"/>
  <c r="AM51" i="5"/>
  <c r="AM50" i="5"/>
  <c r="AM49" i="5"/>
  <c r="AM48" i="5"/>
  <c r="AM47" i="5"/>
  <c r="AM46" i="5"/>
  <c r="AM45" i="5"/>
  <c r="AM44" i="5"/>
  <c r="AM43" i="5"/>
  <c r="AM42" i="5"/>
  <c r="AM41" i="5"/>
  <c r="AM40" i="5"/>
  <c r="AM39" i="5"/>
  <c r="AM38" i="5"/>
  <c r="AM37" i="5"/>
  <c r="AM36" i="5"/>
  <c r="AM35" i="5"/>
  <c r="AM34" i="5"/>
  <c r="AM33" i="5"/>
  <c r="AM32" i="5"/>
  <c r="AM31" i="5"/>
  <c r="AM30" i="5"/>
  <c r="AM29" i="5"/>
  <c r="G42" i="1"/>
  <c r="G43" i="1"/>
  <c r="G49" i="1"/>
  <c r="G52" i="1"/>
  <c r="AM4" i="5"/>
  <c r="AI5" i="5"/>
  <c r="AJ5" i="5"/>
  <c r="AK5" i="5"/>
  <c r="AL5" i="5"/>
  <c r="AM5" i="5"/>
  <c r="AI6" i="5"/>
  <c r="AJ6" i="5"/>
  <c r="AK6" i="5"/>
  <c r="AL6" i="5"/>
  <c r="AM6" i="5"/>
  <c r="AI7" i="5"/>
  <c r="AJ7" i="5"/>
  <c r="AK7" i="5"/>
  <c r="AL7" i="5"/>
  <c r="AM7" i="5"/>
  <c r="AI8" i="5"/>
  <c r="AJ8" i="5"/>
  <c r="AK8" i="5"/>
  <c r="AL8" i="5"/>
  <c r="AM8" i="5"/>
  <c r="AI9" i="5"/>
  <c r="AJ9" i="5"/>
  <c r="AK9" i="5"/>
  <c r="AL9" i="5"/>
  <c r="AM9" i="5"/>
  <c r="AI10" i="5"/>
  <c r="AJ10" i="5"/>
  <c r="AK10" i="5"/>
  <c r="AL10" i="5"/>
  <c r="AM10" i="5"/>
  <c r="AI11" i="5"/>
  <c r="AJ11" i="5"/>
  <c r="AK11" i="5"/>
  <c r="AL11" i="5"/>
  <c r="AM11" i="5"/>
  <c r="AI12" i="5"/>
  <c r="AJ12" i="5"/>
  <c r="AK12" i="5"/>
  <c r="AL12" i="5"/>
  <c r="AM12" i="5"/>
  <c r="AI13" i="5"/>
  <c r="AJ13" i="5"/>
  <c r="AK13" i="5"/>
  <c r="AL13" i="5"/>
  <c r="AM13" i="5"/>
  <c r="AI14" i="5"/>
  <c r="AJ14" i="5"/>
  <c r="AK14" i="5"/>
  <c r="AL14" i="5"/>
  <c r="AM14" i="5"/>
  <c r="AI15" i="5"/>
  <c r="AJ15" i="5"/>
  <c r="AK15" i="5"/>
  <c r="AL15" i="5"/>
  <c r="AM15" i="5"/>
  <c r="AI16" i="5"/>
  <c r="AJ16" i="5"/>
  <c r="AK16" i="5"/>
  <c r="AL16" i="5"/>
  <c r="AM16" i="5"/>
  <c r="AI17" i="5"/>
  <c r="AJ17" i="5"/>
  <c r="AK17" i="5"/>
  <c r="AL17" i="5"/>
  <c r="AM17" i="5"/>
  <c r="AI18" i="5"/>
  <c r="AJ18" i="5"/>
  <c r="AK18" i="5"/>
  <c r="AL18" i="5"/>
  <c r="AM18" i="5"/>
  <c r="AI19" i="5"/>
  <c r="AJ19" i="5"/>
  <c r="AK19" i="5"/>
  <c r="AL19" i="5"/>
  <c r="AM19" i="5"/>
  <c r="AI20" i="5"/>
  <c r="AJ20" i="5"/>
  <c r="AK20" i="5"/>
  <c r="AL20" i="5"/>
  <c r="AM20" i="5"/>
  <c r="AI21" i="5"/>
  <c r="AJ21" i="5"/>
  <c r="AK21" i="5"/>
  <c r="AL21" i="5"/>
  <c r="AM21" i="5"/>
  <c r="AI22" i="5"/>
  <c r="AJ22" i="5"/>
  <c r="AK22" i="5"/>
  <c r="AL22" i="5"/>
  <c r="AM22" i="5"/>
  <c r="AI23" i="5"/>
  <c r="AJ23" i="5"/>
  <c r="AK23" i="5"/>
  <c r="AL23" i="5"/>
  <c r="AM23" i="5"/>
  <c r="AI24" i="5"/>
  <c r="AJ24" i="5"/>
  <c r="AK24" i="5"/>
  <c r="AL24" i="5"/>
  <c r="AM24" i="5"/>
  <c r="AI25" i="5"/>
  <c r="AJ25" i="5"/>
  <c r="AK25" i="5"/>
  <c r="AL25" i="5"/>
  <c r="AM25" i="5"/>
  <c r="AI26" i="5"/>
  <c r="AJ26" i="5"/>
  <c r="AK26" i="5"/>
  <c r="AL26" i="5"/>
  <c r="AM26" i="5"/>
  <c r="AI27" i="5"/>
  <c r="AJ27" i="5"/>
  <c r="AK27" i="5"/>
  <c r="AL27" i="5"/>
  <c r="AM27" i="5"/>
  <c r="AI28" i="5"/>
  <c r="AJ28" i="5"/>
  <c r="AK28" i="5"/>
  <c r="AL28" i="5"/>
  <c r="C113" i="5"/>
  <c r="B113" i="5"/>
  <c r="C118" i="5"/>
  <c r="B118" i="5"/>
  <c r="C115" i="5"/>
  <c r="B115" i="5"/>
  <c r="C114" i="5"/>
  <c r="B114" i="5"/>
  <c r="C116" i="5"/>
  <c r="B116" i="5"/>
  <c r="C117" i="5"/>
  <c r="B117" i="5"/>
  <c r="AM116" i="5"/>
  <c r="AM79" i="5"/>
  <c r="C80" i="5"/>
  <c r="B80" i="5"/>
  <c r="E80" i="5"/>
  <c r="D80" i="5"/>
  <c r="AI80" i="5"/>
  <c r="AJ80" i="5"/>
  <c r="AK80" i="5"/>
  <c r="AL80" i="5"/>
  <c r="AM80" i="5"/>
  <c r="C81" i="5"/>
  <c r="B81" i="5"/>
  <c r="E81" i="5"/>
  <c r="D81" i="5"/>
  <c r="AI81" i="5"/>
  <c r="AJ81" i="5"/>
  <c r="AK81" i="5"/>
  <c r="AL81" i="5"/>
  <c r="AM81" i="5"/>
  <c r="C82" i="5"/>
  <c r="B82" i="5"/>
  <c r="E82" i="5"/>
  <c r="D82" i="5"/>
  <c r="AI82" i="5"/>
  <c r="AJ82" i="5"/>
  <c r="AK82" i="5"/>
  <c r="AL82" i="5"/>
  <c r="AM82" i="5"/>
  <c r="C83" i="5"/>
  <c r="B83" i="5"/>
  <c r="E83" i="5"/>
  <c r="D83" i="5"/>
  <c r="AI83" i="5"/>
  <c r="AJ83" i="5"/>
  <c r="AK83" i="5"/>
  <c r="AL83" i="5"/>
  <c r="AM83" i="5"/>
  <c r="C84" i="5"/>
  <c r="B84" i="5"/>
  <c r="E84" i="5"/>
  <c r="D84" i="5"/>
  <c r="AI84" i="5"/>
  <c r="AJ84" i="5"/>
  <c r="AK84" i="5"/>
  <c r="AL84" i="5"/>
  <c r="AM84" i="5"/>
  <c r="C85" i="5"/>
  <c r="B85" i="5"/>
  <c r="E85" i="5"/>
  <c r="D85" i="5"/>
  <c r="AI85" i="5"/>
  <c r="AJ85" i="5"/>
  <c r="AK85" i="5"/>
  <c r="AL85" i="5"/>
  <c r="AM85" i="5"/>
  <c r="C86" i="5"/>
  <c r="B86" i="5"/>
  <c r="E86" i="5"/>
  <c r="D86" i="5"/>
  <c r="AI86" i="5"/>
  <c r="AJ86" i="5"/>
  <c r="AK86" i="5"/>
  <c r="AL86" i="5"/>
  <c r="AM86" i="5"/>
  <c r="C87" i="5"/>
  <c r="B87" i="5"/>
  <c r="E87" i="5"/>
  <c r="D87" i="5"/>
  <c r="AI87" i="5"/>
  <c r="AJ87" i="5"/>
  <c r="AK87" i="5"/>
  <c r="AL87" i="5"/>
  <c r="AM87" i="5"/>
  <c r="C88" i="5"/>
  <c r="B88" i="5"/>
  <c r="E88" i="5"/>
  <c r="D88" i="5"/>
  <c r="AI88" i="5"/>
  <c r="AJ88" i="5"/>
  <c r="AK88" i="5"/>
  <c r="AL88" i="5"/>
  <c r="AM88" i="5"/>
  <c r="C89" i="5"/>
  <c r="B89" i="5"/>
  <c r="E89" i="5"/>
  <c r="D89" i="5"/>
  <c r="AI89" i="5"/>
  <c r="AJ89" i="5"/>
  <c r="AK89" i="5"/>
  <c r="AL89" i="5"/>
  <c r="AM89" i="5"/>
  <c r="C90" i="5"/>
  <c r="B90" i="5"/>
  <c r="E90" i="5"/>
  <c r="D90" i="5"/>
  <c r="AI90" i="5"/>
  <c r="AJ90" i="5"/>
  <c r="AK90" i="5"/>
  <c r="AL90" i="5"/>
  <c r="AM90" i="5"/>
  <c r="C91" i="5"/>
  <c r="B91" i="5"/>
  <c r="E91" i="5"/>
  <c r="D91" i="5"/>
  <c r="AI91" i="5"/>
  <c r="AJ91" i="5"/>
  <c r="AK91" i="5"/>
  <c r="AL91" i="5"/>
  <c r="AM91" i="5"/>
  <c r="C92" i="5"/>
  <c r="B92" i="5"/>
  <c r="E92" i="5"/>
  <c r="D92" i="5"/>
  <c r="AI92" i="5"/>
  <c r="AJ92" i="5"/>
  <c r="AK92" i="5"/>
  <c r="AL92" i="5"/>
  <c r="AM92" i="5"/>
  <c r="C93" i="5"/>
  <c r="B93" i="5"/>
  <c r="E93" i="5"/>
  <c r="D93" i="5"/>
  <c r="AI93" i="5"/>
  <c r="AJ93" i="5"/>
  <c r="AK93" i="5"/>
  <c r="AL93" i="5"/>
  <c r="AM93" i="5"/>
  <c r="C94" i="5"/>
  <c r="B94" i="5"/>
  <c r="E94" i="5"/>
  <c r="D94" i="5"/>
  <c r="AI94" i="5"/>
  <c r="AJ94" i="5"/>
  <c r="AK94" i="5"/>
  <c r="AL94" i="5"/>
  <c r="AM94" i="5"/>
  <c r="C95" i="5"/>
  <c r="B95" i="5"/>
  <c r="E95" i="5"/>
  <c r="D95" i="5"/>
  <c r="AI95" i="5"/>
  <c r="AJ95" i="5"/>
  <c r="AK95" i="5"/>
  <c r="AL95" i="5"/>
  <c r="AM95" i="5"/>
  <c r="C96" i="5"/>
  <c r="B96" i="5"/>
  <c r="E96" i="5"/>
  <c r="D96" i="5"/>
  <c r="AI96" i="5"/>
  <c r="AJ96" i="5"/>
  <c r="AK96" i="5"/>
  <c r="AL96" i="5"/>
  <c r="AM96" i="5"/>
  <c r="C97" i="5"/>
  <c r="B97" i="5"/>
  <c r="E97" i="5"/>
  <c r="D97" i="5"/>
  <c r="AI97" i="5"/>
  <c r="AJ97" i="5"/>
  <c r="AK97" i="5"/>
  <c r="AL97" i="5"/>
  <c r="AM97" i="5"/>
  <c r="C98" i="5"/>
  <c r="B98" i="5"/>
  <c r="E98" i="5"/>
  <c r="D98" i="5"/>
  <c r="AI98" i="5"/>
  <c r="AJ98" i="5"/>
  <c r="AK98" i="5"/>
  <c r="AL98" i="5"/>
  <c r="AM98" i="5"/>
  <c r="C99" i="5"/>
  <c r="B99" i="5"/>
  <c r="E99" i="5"/>
  <c r="D99" i="5"/>
  <c r="AI99" i="5"/>
  <c r="AJ99" i="5"/>
  <c r="AK99" i="5"/>
  <c r="AL99" i="5"/>
  <c r="AM99" i="5"/>
  <c r="C100" i="5"/>
  <c r="B100" i="5"/>
  <c r="E100" i="5"/>
  <c r="D100" i="5"/>
  <c r="AI100" i="5"/>
  <c r="AJ100" i="5"/>
  <c r="AK100" i="5"/>
  <c r="AL100" i="5"/>
  <c r="AM100" i="5"/>
  <c r="C101" i="5"/>
  <c r="B101" i="5"/>
  <c r="E101" i="5"/>
  <c r="D101" i="5"/>
  <c r="AI101" i="5"/>
  <c r="AJ101" i="5"/>
  <c r="AK101" i="5"/>
  <c r="AL101" i="5"/>
  <c r="AM101" i="5"/>
  <c r="C102" i="5"/>
  <c r="B102" i="5"/>
  <c r="E102" i="5"/>
  <c r="D102" i="5"/>
  <c r="AI102" i="5"/>
  <c r="AJ102" i="5"/>
  <c r="AK102" i="5"/>
  <c r="AL102" i="5"/>
  <c r="AM102" i="5"/>
  <c r="C103" i="5"/>
  <c r="B103" i="5"/>
  <c r="E103" i="5"/>
  <c r="D103" i="5"/>
  <c r="AI103" i="5"/>
  <c r="AJ103" i="5"/>
  <c r="AK103" i="5"/>
  <c r="AL103" i="5"/>
  <c r="AM104" i="5"/>
  <c r="C105" i="5"/>
  <c r="B105" i="5"/>
  <c r="E105" i="5"/>
  <c r="D105" i="5"/>
  <c r="AI105" i="5"/>
  <c r="AJ105" i="5"/>
  <c r="AK105" i="5"/>
  <c r="AL105" i="5"/>
  <c r="AM105" i="5"/>
  <c r="C106" i="5"/>
  <c r="B106" i="5"/>
  <c r="E106" i="5"/>
  <c r="D106" i="5"/>
  <c r="AI106" i="5"/>
  <c r="AJ106" i="5"/>
  <c r="AK106" i="5"/>
  <c r="AL106" i="5"/>
  <c r="AM106" i="5"/>
  <c r="C107" i="5"/>
  <c r="B107" i="5"/>
  <c r="E107" i="5"/>
  <c r="D107" i="5"/>
  <c r="AI107" i="5"/>
  <c r="AJ107" i="5"/>
  <c r="AK107" i="5"/>
  <c r="AL107" i="5"/>
  <c r="AM107" i="5"/>
  <c r="C108" i="5"/>
  <c r="B108" i="5"/>
  <c r="E108" i="5"/>
  <c r="D108" i="5"/>
  <c r="AI108" i="5"/>
  <c r="AJ108" i="5"/>
  <c r="AK108" i="5"/>
  <c r="AL108" i="5"/>
  <c r="AM108" i="5"/>
  <c r="C109" i="5"/>
  <c r="B109" i="5"/>
  <c r="E109" i="5"/>
  <c r="D109" i="5"/>
  <c r="AI109" i="5"/>
  <c r="AJ109" i="5"/>
  <c r="AK109" i="5"/>
  <c r="AL109" i="5"/>
  <c r="AM109" i="5"/>
  <c r="C110" i="5"/>
  <c r="B110" i="5"/>
  <c r="E110" i="5"/>
  <c r="D110" i="5"/>
  <c r="AI110" i="5"/>
  <c r="AJ110" i="5"/>
  <c r="AK110" i="5"/>
  <c r="AL110" i="5"/>
  <c r="AM110" i="5"/>
  <c r="C111" i="5"/>
  <c r="B111" i="5"/>
  <c r="E111" i="5"/>
  <c r="D111" i="5"/>
  <c r="AI111" i="5"/>
  <c r="AJ111" i="5"/>
  <c r="AK111" i="5"/>
  <c r="AL111" i="5"/>
  <c r="AM111" i="5"/>
  <c r="C112" i="5"/>
  <c r="B112" i="5"/>
  <c r="E112" i="5"/>
  <c r="D112" i="5"/>
  <c r="AI112" i="5"/>
  <c r="AJ112" i="5"/>
  <c r="AK112" i="5"/>
  <c r="AL112" i="5"/>
  <c r="AM112" i="5"/>
  <c r="E113" i="5"/>
  <c r="D113" i="5"/>
  <c r="AI113" i="5"/>
  <c r="AJ113" i="5"/>
  <c r="AK113" i="5"/>
  <c r="AL113" i="5"/>
  <c r="AM113" i="5"/>
  <c r="E114" i="5"/>
  <c r="D114" i="5"/>
  <c r="AI114" i="5"/>
  <c r="AJ114" i="5"/>
  <c r="AK114" i="5"/>
  <c r="AL114" i="5"/>
  <c r="AM114" i="5"/>
  <c r="E115" i="5"/>
  <c r="D115" i="5"/>
  <c r="AI115" i="5"/>
  <c r="AJ115" i="5"/>
  <c r="AK115" i="5"/>
  <c r="AL115" i="5"/>
  <c r="AM115" i="5"/>
  <c r="E116" i="5"/>
  <c r="D116" i="5"/>
  <c r="AI116" i="5"/>
  <c r="AJ116" i="5"/>
  <c r="AK116" i="5"/>
  <c r="AL116" i="5"/>
  <c r="E117" i="5"/>
  <c r="D117" i="5"/>
  <c r="AI117" i="5"/>
  <c r="AJ117" i="5"/>
  <c r="AK117" i="5"/>
  <c r="AL117" i="5"/>
  <c r="AM117" i="5"/>
  <c r="E118" i="5"/>
  <c r="D118" i="5"/>
  <c r="AI118" i="5"/>
  <c r="AJ118" i="5"/>
  <c r="AK118" i="5"/>
  <c r="AL118" i="5"/>
  <c r="AM118" i="5"/>
  <c r="C119" i="5"/>
  <c r="B119" i="5"/>
  <c r="E119" i="5"/>
  <c r="D119" i="5"/>
  <c r="AI119" i="5"/>
  <c r="AJ119" i="5"/>
  <c r="AK119" i="5"/>
  <c r="AL119" i="5"/>
  <c r="AM119" i="5"/>
  <c r="C120" i="5"/>
  <c r="B120" i="5"/>
  <c r="E120" i="5"/>
  <c r="D120" i="5"/>
  <c r="AI120" i="5"/>
  <c r="AJ120" i="5"/>
  <c r="AK120" i="5"/>
  <c r="AL120" i="5"/>
  <c r="AM120" i="5"/>
  <c r="C121" i="5"/>
  <c r="B121" i="5"/>
  <c r="E121" i="5"/>
  <c r="D121" i="5"/>
  <c r="AI121" i="5"/>
  <c r="AJ121" i="5"/>
  <c r="AK121" i="5"/>
  <c r="AL121" i="5"/>
  <c r="AM121" i="5"/>
  <c r="C122" i="5"/>
  <c r="B122" i="5"/>
  <c r="E122" i="5"/>
  <c r="D122" i="5"/>
  <c r="AI122" i="5"/>
  <c r="AJ122" i="5"/>
  <c r="AK122" i="5"/>
  <c r="AL122" i="5"/>
  <c r="A66" i="1"/>
  <c r="G65" i="1"/>
  <c r="G67" i="1"/>
  <c r="G69" i="1"/>
  <c r="F63" i="1"/>
  <c r="L75" i="1"/>
  <c r="L76" i="1"/>
  <c r="M76" i="1"/>
  <c r="M75" i="1"/>
  <c r="A77" i="1"/>
  <c r="G75" i="1"/>
  <c r="G7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BMS</author>
  </authors>
  <commentList>
    <comment ref="F31" authorId="0" shapeId="0" xr:uid="{00000000-0006-0000-0000-000001000000}">
      <text>
        <r>
          <rPr>
            <sz val="10"/>
            <color rgb="FF000000"/>
            <rFont val="Arial"/>
            <family val="34"/>
          </rPr>
          <t xml:space="preserve">= 0,70 bij een onbeschermde ligger onder een (staalplaat-) betonvloer (driezijdige verhitting);
</t>
        </r>
        <r>
          <rPr>
            <sz val="10"/>
            <color rgb="FF000000"/>
            <rFont val="Arial"/>
            <family val="34"/>
          </rPr>
          <t xml:space="preserve">
</t>
        </r>
        <r>
          <rPr>
            <sz val="10"/>
            <color rgb="FF000000"/>
            <rFont val="Arial"/>
            <family val="34"/>
          </rPr>
          <t xml:space="preserve">= 0,85 bij een beschermde ligger onder een (staalplaat-) betonvloer (driezijdige verhitting);
</t>
        </r>
        <r>
          <rPr>
            <sz val="10"/>
            <color rgb="FF000000"/>
            <rFont val="Arial"/>
            <family val="34"/>
          </rPr>
          <t xml:space="preserve">
</t>
        </r>
        <r>
          <rPr>
            <sz val="10"/>
            <color rgb="FF000000"/>
            <rFont val="Arial"/>
            <family val="34"/>
          </rPr>
          <t>= 1,00 bij vierzijdige verhitting.</t>
        </r>
      </text>
    </comment>
    <comment ref="F32" authorId="0" shapeId="0" xr:uid="{00000000-0006-0000-0000-000002000000}">
      <text>
        <r>
          <rPr>
            <sz val="10"/>
            <color rgb="FF000000"/>
            <rFont val="Arial"/>
            <family val="34"/>
          </rPr>
          <t xml:space="preserve">= 0,85 bij de opleggingen van een statisch onbepaalde ligger;
</t>
        </r>
        <r>
          <rPr>
            <sz val="10"/>
            <color rgb="FF000000"/>
            <rFont val="Arial"/>
            <family val="2"/>
          </rPr>
          <t xml:space="preserve">
</t>
        </r>
        <r>
          <rPr>
            <sz val="10"/>
            <color rgb="FF000000"/>
            <rFont val="Arial"/>
            <family val="2"/>
          </rPr>
          <t>=1,0 in alle andere gevallen.</t>
        </r>
      </text>
    </comment>
    <comment ref="C40" authorId="0" shapeId="0" xr:uid="{00000000-0006-0000-0000-000003000000}">
      <text>
        <r>
          <rPr>
            <sz val="10"/>
            <color rgb="FF000000"/>
            <rFont val="Arial"/>
            <family val="34"/>
          </rPr>
          <t xml:space="preserve">Defaultwaarde bestaat uit:
</t>
        </r>
        <r>
          <rPr>
            <sz val="10"/>
            <color rgb="FF000000"/>
            <rFont val="Arial"/>
            <family val="34"/>
          </rPr>
          <t xml:space="preserve">kanaalplaat: 3,1 kN/m2;
</t>
        </r>
        <r>
          <rPr>
            <sz val="10"/>
            <color rgb="FF000000"/>
            <rFont val="Arial"/>
            <family val="34"/>
          </rPr>
          <t xml:space="preserve">afwerklaag: 1,0 kN/m2 en
</t>
        </r>
        <r>
          <rPr>
            <sz val="10"/>
            <color rgb="FF000000"/>
            <rFont val="Arial"/>
            <family val="34"/>
          </rPr>
          <t>lichte scheidingswanden: 0,5 kN/m2.</t>
        </r>
      </text>
    </comment>
    <comment ref="B60" authorId="0" shapeId="0" xr:uid="{00000000-0006-0000-0000-000004000000}">
      <text>
        <r>
          <rPr>
            <sz val="10"/>
            <color rgb="FF000000"/>
            <rFont val="Arial"/>
            <family val="34"/>
          </rPr>
          <t xml:space="preserve">Voorstel op basis van fundamentele combinatie. 
</t>
        </r>
        <r>
          <rPr>
            <sz val="10"/>
            <color rgb="FF000000"/>
            <rFont val="Arial"/>
            <family val="34"/>
          </rPr>
          <t>Profiel kan worden aangepast</t>
        </r>
        <r>
          <rPr>
            <sz val="12"/>
            <color rgb="FF000000"/>
            <rFont val="Arial"/>
            <family val="2"/>
          </rPr>
          <t>.</t>
        </r>
      </text>
    </comment>
  </commentList>
</comments>
</file>

<file path=xl/sharedStrings.xml><?xml version="1.0" encoding="utf-8"?>
<sst xmlns="http://schemas.openxmlformats.org/spreadsheetml/2006/main" count="310" uniqueCount="233">
  <si>
    <r>
      <t xml:space="preserve">benuttingsgraad, </t>
    </r>
    <r>
      <rPr>
        <sz val="10"/>
        <rFont val="Symbol"/>
        <family val="1"/>
      </rPr>
      <t>m</t>
    </r>
    <r>
      <rPr>
        <vertAlign val="subscript"/>
        <sz val="10"/>
        <rFont val="Arial"/>
        <family val="2"/>
      </rPr>
      <t>0</t>
    </r>
    <r>
      <rPr>
        <sz val="10"/>
        <rFont val="Arial"/>
        <family val="2"/>
      </rPr>
      <t xml:space="preserve"> = E</t>
    </r>
    <r>
      <rPr>
        <vertAlign val="subscript"/>
        <sz val="10"/>
        <rFont val="Arial"/>
        <family val="2"/>
      </rPr>
      <t>fi,d</t>
    </r>
    <r>
      <rPr>
        <sz val="10"/>
        <rFont val="Arial"/>
        <family val="2"/>
      </rPr>
      <t>/M</t>
    </r>
    <r>
      <rPr>
        <vertAlign val="subscript"/>
        <sz val="10"/>
        <rFont val="Arial"/>
        <family val="2"/>
      </rPr>
      <t>fi,d,0</t>
    </r>
    <r>
      <rPr>
        <sz val="10"/>
        <rFont val="Arial"/>
        <family val="2"/>
      </rPr>
      <t xml:space="preserve"> (vgl. 4.23) =</t>
    </r>
    <phoneticPr fontId="2" type="noConversion"/>
  </si>
  <si>
    <r>
      <t xml:space="preserve">belastingfactor brand, </t>
    </r>
    <r>
      <rPr>
        <sz val="10"/>
        <rFont val="Symbol"/>
        <family val="1"/>
      </rPr>
      <t>g</t>
    </r>
    <r>
      <rPr>
        <vertAlign val="subscript"/>
        <sz val="10"/>
        <rFont val="Symbol"/>
        <family val="1"/>
      </rPr>
      <t>q</t>
    </r>
    <r>
      <rPr>
        <sz val="10"/>
        <rFont val="Arial"/>
        <family val="2"/>
      </rPr>
      <t xml:space="preserve"> =</t>
    </r>
    <phoneticPr fontId="0" type="noConversion"/>
  </si>
  <si>
    <r>
      <t>rekenwaarde belasting op ligger (brand), E</t>
    </r>
    <r>
      <rPr>
        <vertAlign val="subscript"/>
        <sz val="10"/>
        <rFont val="Arial"/>
        <family val="2"/>
      </rPr>
      <t>fi,d</t>
    </r>
    <r>
      <rPr>
        <sz val="10"/>
        <rFont val="Arial"/>
        <family val="2"/>
      </rPr>
      <t xml:space="preserve"> = q</t>
    </r>
    <r>
      <rPr>
        <vertAlign val="subscript"/>
        <sz val="10"/>
        <rFont val="Symbol"/>
        <family val="1"/>
      </rPr>
      <t>q</t>
    </r>
    <r>
      <rPr>
        <sz val="10"/>
        <rFont val="Arial"/>
        <family val="2"/>
      </rPr>
      <t xml:space="preserve"> =</t>
    </r>
    <phoneticPr fontId="2" type="noConversion"/>
  </si>
  <si>
    <r>
      <t>rekenwaarde moment ligger (brand), E</t>
    </r>
    <r>
      <rPr>
        <vertAlign val="subscript"/>
        <sz val="10"/>
        <rFont val="Arial"/>
        <family val="2"/>
      </rPr>
      <t>fi,d</t>
    </r>
    <r>
      <rPr>
        <sz val="10"/>
        <rFont val="Arial"/>
        <family val="2"/>
      </rPr>
      <t xml:space="preserve"> = M</t>
    </r>
    <r>
      <rPr>
        <vertAlign val="subscript"/>
        <sz val="10"/>
        <rFont val="Symbol"/>
        <family val="1"/>
      </rPr>
      <t>q</t>
    </r>
    <r>
      <rPr>
        <sz val="10"/>
        <rFont val="Arial"/>
        <family val="2"/>
      </rPr>
      <t xml:space="preserve"> =</t>
    </r>
    <phoneticPr fontId="2" type="noConversion"/>
  </si>
  <si>
    <r>
      <t>kritieke staaltemperatuur</t>
    </r>
    <r>
      <rPr>
        <sz val="10"/>
        <rFont val="Arial"/>
        <family val="2"/>
      </rPr>
      <t xml:space="preserve"> (vgl. 4.22), </t>
    </r>
    <r>
      <rPr>
        <sz val="10"/>
        <rFont val="Symbol"/>
        <family val="1"/>
      </rPr>
      <t>q</t>
    </r>
    <r>
      <rPr>
        <vertAlign val="subscript"/>
        <sz val="10"/>
        <rFont val="Arial"/>
        <family val="2"/>
      </rPr>
      <t>a;cr</t>
    </r>
    <r>
      <rPr>
        <sz val="10"/>
        <rFont val="Arial"/>
        <family val="2"/>
      </rPr>
      <t xml:space="preserve"> =</t>
    </r>
    <phoneticPr fontId="2" type="noConversion"/>
  </si>
  <si>
    <r>
      <t>kritieke staaltemperatuur</t>
    </r>
    <r>
      <rPr>
        <sz val="10"/>
        <rFont val="Arial"/>
        <family val="2"/>
      </rPr>
      <t xml:space="preserve"> (tabel 3.1), </t>
    </r>
    <r>
      <rPr>
        <sz val="10"/>
        <rFont val="Symbol"/>
        <family val="1"/>
      </rPr>
      <t>q</t>
    </r>
    <r>
      <rPr>
        <vertAlign val="subscript"/>
        <sz val="10"/>
        <rFont val="Arial"/>
        <family val="2"/>
      </rPr>
      <t>a;cr</t>
    </r>
    <r>
      <rPr>
        <sz val="10"/>
        <rFont val="Arial"/>
        <family val="2"/>
      </rPr>
      <t xml:space="preserve"> =</t>
    </r>
    <phoneticPr fontId="2" type="noConversion"/>
  </si>
  <si>
    <t xml:space="preserve"> </t>
    <phoneticPr fontId="2" type="noConversion"/>
  </si>
  <si>
    <r>
      <t>rekenwaarde opneembare moment ligger, M</t>
    </r>
    <r>
      <rPr>
        <vertAlign val="subscript"/>
        <sz val="10"/>
        <rFont val="Arial"/>
        <family val="2"/>
      </rPr>
      <t>c,Rd</t>
    </r>
    <r>
      <rPr>
        <sz val="10"/>
        <rFont val="Arial"/>
        <family val="2"/>
      </rPr>
      <t xml:space="preserve"> =</t>
    </r>
    <phoneticPr fontId="2" type="noConversion"/>
  </si>
  <si>
    <r>
      <t>idem met niet-uniforme temperatuurverdeling, M</t>
    </r>
    <r>
      <rPr>
        <vertAlign val="subscript"/>
        <sz val="10"/>
        <rFont val="Arial"/>
        <family val="2"/>
      </rPr>
      <t>fi,d,0</t>
    </r>
    <r>
      <rPr>
        <sz val="10"/>
        <rFont val="Arial"/>
        <family val="2"/>
      </rPr>
      <t xml:space="preserve"> =</t>
    </r>
    <phoneticPr fontId="2" type="noConversion"/>
  </si>
  <si>
    <t>Resultaat</t>
    <phoneticPr fontId="0" type="noConversion"/>
  </si>
  <si>
    <t xml:space="preserve"> </t>
    <phoneticPr fontId="2" type="noConversion"/>
  </si>
  <si>
    <t xml:space="preserve"> </t>
    <phoneticPr fontId="2" type="noConversion"/>
  </si>
  <si>
    <t xml:space="preserve">  </t>
    <phoneticPr fontId="2" type="noConversion"/>
  </si>
  <si>
    <t xml:space="preserve"> </t>
    <phoneticPr fontId="10" type="noConversion"/>
  </si>
  <si>
    <t xml:space="preserve"> </t>
    <phoneticPr fontId="10" type="noConversion"/>
  </si>
  <si>
    <t>Doorsnedeklasse bij buiging</t>
    <phoneticPr fontId="10" type="noConversion"/>
  </si>
  <si>
    <t>S235</t>
  </si>
  <si>
    <t>Profiel</t>
  </si>
  <si>
    <t>Geometrie</t>
  </si>
  <si>
    <t>Profielgrootheden</t>
  </si>
  <si>
    <t>Profielfactor</t>
    <phoneticPr fontId="0" type="noConversion"/>
  </si>
  <si>
    <t>Opvolgend profiel</t>
  </si>
  <si>
    <t xml:space="preserve"> </t>
  </si>
  <si>
    <t>h/d</t>
    <phoneticPr fontId="0" type="noConversion"/>
  </si>
  <si>
    <t>b</t>
  </si>
  <si>
    <r>
      <t>t</t>
    </r>
    <r>
      <rPr>
        <b/>
        <vertAlign val="subscript"/>
        <sz val="10"/>
        <rFont val="Arial"/>
        <family val="2"/>
      </rPr>
      <t>w</t>
    </r>
    <r>
      <rPr>
        <b/>
        <sz val="10"/>
        <rFont val="Arial"/>
        <family val="2"/>
      </rPr>
      <t>/t</t>
    </r>
  </si>
  <si>
    <r>
      <t>t</t>
    </r>
    <r>
      <rPr>
        <b/>
        <vertAlign val="subscript"/>
        <sz val="10"/>
        <rFont val="Arial"/>
        <family val="2"/>
      </rPr>
      <t>f</t>
    </r>
  </si>
  <si>
    <t>r</t>
  </si>
  <si>
    <t>G</t>
  </si>
  <si>
    <r>
      <t>G</t>
    </r>
    <r>
      <rPr>
        <b/>
        <vertAlign val="subscript"/>
        <sz val="10"/>
        <rFont val="Arial"/>
        <family val="2"/>
      </rPr>
      <t>8</t>
    </r>
  </si>
  <si>
    <t>A</t>
  </si>
  <si>
    <r>
      <t>A</t>
    </r>
    <r>
      <rPr>
        <b/>
        <vertAlign val="subscript"/>
        <sz val="10"/>
        <rFont val="Arial"/>
        <family val="2"/>
      </rPr>
      <t>L</t>
    </r>
  </si>
  <si>
    <r>
      <t>I</t>
    </r>
    <r>
      <rPr>
        <b/>
        <vertAlign val="subscript"/>
        <sz val="10"/>
        <rFont val="Arial"/>
        <family val="2"/>
      </rPr>
      <t>y</t>
    </r>
  </si>
  <si>
    <r>
      <t>W</t>
    </r>
    <r>
      <rPr>
        <b/>
        <vertAlign val="subscript"/>
        <sz val="10"/>
        <rFont val="Arial"/>
        <family val="2"/>
      </rPr>
      <t>y;el</t>
    </r>
  </si>
  <si>
    <r>
      <t>[mm</t>
    </r>
    <r>
      <rPr>
        <vertAlign val="superscript"/>
        <sz val="9"/>
        <rFont val="Arial"/>
        <family val="2"/>
      </rPr>
      <t>2</t>
    </r>
    <r>
      <rPr>
        <sz val="9"/>
        <rFont val="Arial"/>
        <family val="2"/>
      </rPr>
      <t>]</t>
    </r>
  </si>
  <si>
    <r>
      <t>[m</t>
    </r>
    <r>
      <rPr>
        <vertAlign val="superscript"/>
        <sz val="9"/>
        <rFont val="Arial"/>
        <family val="2"/>
      </rPr>
      <t>2</t>
    </r>
    <r>
      <rPr>
        <sz val="9"/>
        <rFont val="Arial"/>
        <family val="2"/>
      </rPr>
      <t>/m]</t>
    </r>
    <phoneticPr fontId="0" type="noConversion"/>
  </si>
  <si>
    <r>
      <t>[mm</t>
    </r>
    <r>
      <rPr>
        <vertAlign val="superscript"/>
        <sz val="9"/>
        <rFont val="Arial"/>
        <family val="2"/>
      </rPr>
      <t>4</t>
    </r>
    <r>
      <rPr>
        <sz val="9"/>
        <rFont val="Arial"/>
        <family val="2"/>
      </rPr>
      <t>]</t>
    </r>
  </si>
  <si>
    <r>
      <t>[mm</t>
    </r>
    <r>
      <rPr>
        <vertAlign val="superscript"/>
        <sz val="9"/>
        <rFont val="Arial"/>
        <family val="2"/>
      </rPr>
      <t>3</t>
    </r>
    <r>
      <rPr>
        <sz val="9"/>
        <rFont val="Arial"/>
        <family val="2"/>
      </rPr>
      <t>]</t>
    </r>
  </si>
  <si>
    <t>4-z.</t>
    <phoneticPr fontId="0" type="noConversion"/>
  </si>
  <si>
    <t>3-z.</t>
    <phoneticPr fontId="0" type="noConversion"/>
  </si>
  <si>
    <t>4-z.</t>
    <phoneticPr fontId="0" type="noConversion"/>
  </si>
  <si>
    <t>HEA</t>
  </si>
  <si>
    <t>S275</t>
  </si>
  <si>
    <t>HEB</t>
  </si>
  <si>
    <t>S355</t>
  </si>
  <si>
    <t>HEM</t>
  </si>
  <si>
    <t>S420</t>
  </si>
  <si>
    <t>IPE</t>
  </si>
  <si>
    <t>S460</t>
  </si>
  <si>
    <t>Geen passend profiel</t>
  </si>
  <si>
    <r>
      <t>W</t>
    </r>
    <r>
      <rPr>
        <b/>
        <vertAlign val="subscript"/>
        <sz val="10"/>
        <rFont val="Arial"/>
        <family val="2"/>
      </rPr>
      <t>y;pl</t>
    </r>
  </si>
  <si>
    <r>
      <t>i</t>
    </r>
    <r>
      <rPr>
        <b/>
        <vertAlign val="subscript"/>
        <sz val="10"/>
        <rFont val="Arial"/>
        <family val="2"/>
      </rPr>
      <t>y</t>
    </r>
  </si>
  <si>
    <t>m</t>
  </si>
  <si>
    <r>
      <t>kN/m</t>
    </r>
    <r>
      <rPr>
        <vertAlign val="superscript"/>
        <sz val="10"/>
        <rFont val="Arial"/>
        <family val="2"/>
      </rPr>
      <t>2</t>
    </r>
  </si>
  <si>
    <t>[kNm]</t>
    <phoneticPr fontId="10" type="noConversion"/>
  </si>
  <si>
    <t>klasse</t>
    <phoneticPr fontId="10" type="noConversion"/>
  </si>
  <si>
    <r>
      <t>M</t>
    </r>
    <r>
      <rPr>
        <b/>
        <vertAlign val="subscript"/>
        <sz val="10"/>
        <rFont val="Arial"/>
        <family val="2"/>
      </rPr>
      <t>fi,d,0</t>
    </r>
    <phoneticPr fontId="10" type="noConversion"/>
  </si>
  <si>
    <r>
      <t>M</t>
    </r>
    <r>
      <rPr>
        <b/>
        <vertAlign val="subscript"/>
        <sz val="10"/>
        <rFont val="Arial"/>
        <family val="2"/>
      </rPr>
      <t>c;Rd</t>
    </r>
    <phoneticPr fontId="10" type="noConversion"/>
  </si>
  <si>
    <t>Momentweerstand</t>
    <phoneticPr fontId="10" type="noConversion"/>
  </si>
  <si>
    <t>klasse</t>
    <phoneticPr fontId="10" type="noConversion"/>
  </si>
  <si>
    <t xml:space="preserve"> </t>
    <phoneticPr fontId="10" type="noConversion"/>
  </si>
  <si>
    <t xml:space="preserve"> </t>
    <phoneticPr fontId="10" type="noConversion"/>
  </si>
  <si>
    <t xml:space="preserve"> </t>
    <phoneticPr fontId="10" type="noConversion"/>
  </si>
  <si>
    <t xml:space="preserve"> </t>
    <phoneticPr fontId="10" type="noConversion"/>
  </si>
  <si>
    <t xml:space="preserve"> </t>
    <phoneticPr fontId="10" type="noConversion"/>
  </si>
  <si>
    <t>IPE 80</t>
  </si>
  <si>
    <t>IPE 100</t>
  </si>
  <si>
    <t>IPE 120</t>
  </si>
  <si>
    <t>IPE 140</t>
  </si>
  <si>
    <t>IPE 160</t>
  </si>
  <si>
    <t>IPE 180</t>
  </si>
  <si>
    <t>IPE 200</t>
  </si>
  <si>
    <t>IPE 220</t>
  </si>
  <si>
    <t>IPE 240</t>
  </si>
  <si>
    <t>IPE 270</t>
  </si>
  <si>
    <t>IPE 300</t>
  </si>
  <si>
    <t>IPE 330</t>
  </si>
  <si>
    <t>IPE 360</t>
  </si>
  <si>
    <t>IPE 400</t>
  </si>
  <si>
    <t>IPE 450</t>
  </si>
  <si>
    <t>IPE 500</t>
  </si>
  <si>
    <t>IPE 550</t>
  </si>
  <si>
    <t>HEA 100</t>
  </si>
  <si>
    <t>HEA 120</t>
  </si>
  <si>
    <t>HEA 140</t>
  </si>
  <si>
    <t>HEA 1000</t>
  </si>
  <si>
    <t>HEB 100</t>
  </si>
  <si>
    <t>HEB 120</t>
  </si>
  <si>
    <t>HEB 140</t>
  </si>
  <si>
    <t>HEB 160</t>
  </si>
  <si>
    <t>HEB 180</t>
  </si>
  <si>
    <t>HEB 200</t>
  </si>
  <si>
    <t>HEB 220</t>
  </si>
  <si>
    <t>HEB 240</t>
  </si>
  <si>
    <t>HEB 260</t>
  </si>
  <si>
    <t>HEB 280</t>
  </si>
  <si>
    <t>HEB 300</t>
  </si>
  <si>
    <t>HEB 320</t>
  </si>
  <si>
    <t>HEB 340</t>
  </si>
  <si>
    <t>HEB 360</t>
  </si>
  <si>
    <t>HEB 400</t>
  </si>
  <si>
    <t>HEB 450</t>
  </si>
  <si>
    <t>HEB 500</t>
  </si>
  <si>
    <t>HEB 550</t>
  </si>
  <si>
    <t>HEB 600</t>
  </si>
  <si>
    <t>HEB 650</t>
  </si>
  <si>
    <t>HEB 700</t>
  </si>
  <si>
    <t>HEB 800</t>
  </si>
  <si>
    <t>HEB 900</t>
  </si>
  <si>
    <t>HEB 1000</t>
  </si>
  <si>
    <t>HEM 100</t>
  </si>
  <si>
    <t>HEM 120</t>
  </si>
  <si>
    <t>HEM 140</t>
  </si>
  <si>
    <t>kN/m</t>
  </si>
  <si>
    <t>kNm</t>
  </si>
  <si>
    <t>°C</t>
  </si>
  <si>
    <t xml:space="preserve"> </t>
    <phoneticPr fontId="0" type="noConversion"/>
  </si>
  <si>
    <t>Staalsoort en profiel</t>
    <phoneticPr fontId="0" type="noConversion"/>
  </si>
  <si>
    <t>profieltype:</t>
    <phoneticPr fontId="0" type="noConversion"/>
  </si>
  <si>
    <t>profielkeuze:</t>
    <phoneticPr fontId="0" type="noConversion"/>
  </si>
  <si>
    <t>doorsnedeklasse bij kamertemperatuur:</t>
    <phoneticPr fontId="0" type="noConversion"/>
  </si>
  <si>
    <t>IPE 600</t>
  </si>
  <si>
    <t xml:space="preserve"> </t>
    <phoneticPr fontId="2" type="noConversion"/>
  </si>
  <si>
    <t>HEA 160</t>
  </si>
  <si>
    <t>HEA 180</t>
  </si>
  <si>
    <t>HEA 200</t>
  </si>
  <si>
    <t>HEA 220</t>
  </si>
  <si>
    <t>HEA 240</t>
  </si>
  <si>
    <t>HEA 260</t>
  </si>
  <si>
    <t>HEA 280</t>
  </si>
  <si>
    <t>HEA 300</t>
  </si>
  <si>
    <t>HEA 320</t>
  </si>
  <si>
    <t>HEA 340</t>
  </si>
  <si>
    <t>HEA 360</t>
  </si>
  <si>
    <t>HEA 400</t>
  </si>
  <si>
    <t>HEA 450</t>
  </si>
  <si>
    <t>HEA 500</t>
  </si>
  <si>
    <t>HEA 550</t>
  </si>
  <si>
    <t>HEA 600</t>
  </si>
  <si>
    <t>HEA 650</t>
  </si>
  <si>
    <t>HEA 700</t>
  </si>
  <si>
    <t>HEA 800</t>
  </si>
  <si>
    <t>HEA 900</t>
  </si>
  <si>
    <t>Invoervelden zijn in blauw weergegeven.</t>
    <phoneticPr fontId="0" type="noConversion"/>
  </si>
  <si>
    <t>ja</t>
  </si>
  <si>
    <r>
      <t>I</t>
    </r>
    <r>
      <rPr>
        <b/>
        <vertAlign val="subscript"/>
        <sz val="10"/>
        <rFont val="Arial"/>
        <family val="2"/>
      </rPr>
      <t>z</t>
    </r>
  </si>
  <si>
    <r>
      <t>W</t>
    </r>
    <r>
      <rPr>
        <b/>
        <vertAlign val="subscript"/>
        <sz val="10"/>
        <rFont val="Arial"/>
        <family val="2"/>
      </rPr>
      <t>z;el</t>
    </r>
  </si>
  <si>
    <r>
      <t>W</t>
    </r>
    <r>
      <rPr>
        <b/>
        <vertAlign val="subscript"/>
        <sz val="10"/>
        <rFont val="Arial"/>
        <family val="2"/>
      </rPr>
      <t>z;pl</t>
    </r>
  </si>
  <si>
    <r>
      <t>i</t>
    </r>
    <r>
      <rPr>
        <b/>
        <vertAlign val="subscript"/>
        <sz val="10"/>
        <rFont val="Arial"/>
        <family val="2"/>
      </rPr>
      <t>z</t>
    </r>
  </si>
  <si>
    <r>
      <t>I</t>
    </r>
    <r>
      <rPr>
        <b/>
        <vertAlign val="subscript"/>
        <sz val="10"/>
        <rFont val="Arial"/>
        <family val="2"/>
      </rPr>
      <t>t</t>
    </r>
  </si>
  <si>
    <r>
      <t>I</t>
    </r>
    <r>
      <rPr>
        <b/>
        <vertAlign val="subscript"/>
        <sz val="10"/>
        <rFont val="Arial"/>
        <family val="2"/>
      </rPr>
      <t>wa</t>
    </r>
  </si>
  <si>
    <t>kamertemperatuur</t>
  </si>
  <si>
    <t>brand</t>
    <phoneticPr fontId="0" type="noConversion"/>
  </si>
  <si>
    <r>
      <t>P</t>
    </r>
    <r>
      <rPr>
        <b/>
        <vertAlign val="subscript"/>
        <sz val="10"/>
        <rFont val="Arial"/>
        <family val="2"/>
      </rPr>
      <t>coating</t>
    </r>
    <r>
      <rPr>
        <b/>
        <sz val="10"/>
        <rFont val="Arial"/>
        <family val="2"/>
      </rPr>
      <t xml:space="preserve"> </t>
    </r>
    <r>
      <rPr>
        <sz val="9"/>
        <rFont val="Arial"/>
        <family val="2"/>
      </rPr>
      <t>[m</t>
    </r>
    <r>
      <rPr>
        <vertAlign val="superscript"/>
        <sz val="9"/>
        <rFont val="Arial"/>
        <family val="2"/>
      </rPr>
      <t>-1</t>
    </r>
    <r>
      <rPr>
        <sz val="9"/>
        <rFont val="Arial"/>
        <family val="2"/>
      </rPr>
      <t>]</t>
    </r>
    <phoneticPr fontId="0" type="noConversion"/>
  </si>
  <si>
    <r>
      <t>P</t>
    </r>
    <r>
      <rPr>
        <b/>
        <vertAlign val="subscript"/>
        <sz val="10"/>
        <rFont val="Arial"/>
        <family val="2"/>
      </rPr>
      <t>box</t>
    </r>
    <r>
      <rPr>
        <sz val="9"/>
        <rFont val="Arial"/>
        <family val="2"/>
      </rPr>
      <t xml:space="preserve"> [m</t>
    </r>
    <r>
      <rPr>
        <vertAlign val="superscript"/>
        <sz val="9"/>
        <rFont val="Arial"/>
        <family val="2"/>
      </rPr>
      <t>-1</t>
    </r>
    <r>
      <rPr>
        <sz val="9"/>
        <rFont val="Arial"/>
        <family val="2"/>
      </rPr>
      <t>]</t>
    </r>
    <phoneticPr fontId="0" type="noConversion"/>
  </si>
  <si>
    <t>[mm]</t>
  </si>
  <si>
    <t>[kg/m]</t>
  </si>
  <si>
    <t>HEM 160</t>
  </si>
  <si>
    <t>HEM 180</t>
  </si>
  <si>
    <t>HEM 200</t>
  </si>
  <si>
    <t>HEM 220</t>
  </si>
  <si>
    <t>HEM 240</t>
  </si>
  <si>
    <t>HEM 260</t>
  </si>
  <si>
    <t>HEM 280</t>
  </si>
  <si>
    <t>HEM 300</t>
  </si>
  <si>
    <t>HEM 320</t>
  </si>
  <si>
    <t>HEM 340</t>
  </si>
  <si>
    <t>HEM 360</t>
  </si>
  <si>
    <t>HEM 400</t>
  </si>
  <si>
    <t>HEM 450</t>
  </si>
  <si>
    <t>HEM 500</t>
  </si>
  <si>
    <t>HEM 550</t>
  </si>
  <si>
    <t>HEM 600</t>
  </si>
  <si>
    <t>HEM 650</t>
  </si>
  <si>
    <t>HEM 700</t>
  </si>
  <si>
    <t>HEM 800</t>
  </si>
  <si>
    <t>HEM 900</t>
  </si>
  <si>
    <t>HEM 1000</t>
  </si>
  <si>
    <r>
      <t>rekenwaarde belasting op ligger (fundamenteel), q</t>
    </r>
    <r>
      <rPr>
        <vertAlign val="subscript"/>
        <sz val="10"/>
        <rFont val="Arial"/>
        <family val="2"/>
      </rPr>
      <t>20</t>
    </r>
    <r>
      <rPr>
        <sz val="10"/>
        <rFont val="Arial"/>
        <family val="2"/>
      </rPr>
      <t xml:space="preserve"> =</t>
    </r>
    <phoneticPr fontId="2" type="noConversion"/>
  </si>
  <si>
    <r>
      <t>rekenwaarde moment ligger (fundamenteel), M</t>
    </r>
    <r>
      <rPr>
        <vertAlign val="subscript"/>
        <sz val="10"/>
        <rFont val="Arial"/>
        <family val="2"/>
      </rPr>
      <t>20</t>
    </r>
    <r>
      <rPr>
        <sz val="10"/>
        <rFont val="Arial"/>
        <family val="2"/>
      </rPr>
      <t xml:space="preserve"> = </t>
    </r>
    <phoneticPr fontId="2" type="noConversion"/>
  </si>
  <si>
    <t>staalsoort:</t>
    <phoneticPr fontId="0" type="noConversion"/>
  </si>
  <si>
    <t>doorsnedeklasse bij brand:</t>
    <phoneticPr fontId="0" type="noConversion"/>
  </si>
  <si>
    <t xml:space="preserve"> </t>
    <phoneticPr fontId="2" type="noConversion"/>
  </si>
  <si>
    <t>Berekening volgens NEN-EN 1993-1-2 + NB (buiging).</t>
    <phoneticPr fontId="0" type="noConversion"/>
  </si>
  <si>
    <t>Bepaling kritieke staaltemperatuur liggers</t>
    <phoneticPr fontId="0" type="noConversion"/>
  </si>
  <si>
    <t xml:space="preserve"> </t>
    <phoneticPr fontId="2" type="noConversion"/>
  </si>
  <si>
    <t>Geometrie</t>
    <phoneticPr fontId="0" type="noConversion"/>
  </si>
  <si>
    <t>overspanning ligger:</t>
    <phoneticPr fontId="2" type="noConversion"/>
  </si>
  <si>
    <t>overspanning vloer:</t>
    <phoneticPr fontId="2" type="noConversion"/>
  </si>
  <si>
    <t>Temperatuurverdeling ligger</t>
    <phoneticPr fontId="2" type="noConversion"/>
  </si>
  <si>
    <t xml:space="preserve"> </t>
    <phoneticPr fontId="2" type="noConversion"/>
  </si>
  <si>
    <t>Belastinggegevens als default volgens NEN-EN 1990, 1991-1-2 + NB.</t>
    <phoneticPr fontId="0" type="noConversion"/>
  </si>
  <si>
    <t>ja</t>
    <phoneticPr fontId="2" type="noConversion"/>
  </si>
  <si>
    <t>nee</t>
    <phoneticPr fontId="2" type="noConversion"/>
  </si>
  <si>
    <t>kantoorfunctie?</t>
    <phoneticPr fontId="0" type="noConversion"/>
  </si>
  <si>
    <t>permanente vloerbelasting:</t>
    <phoneticPr fontId="0" type="noConversion"/>
  </si>
  <si>
    <t>veranderlijke vloerbelasting:</t>
    <phoneticPr fontId="0" type="noConversion"/>
  </si>
  <si>
    <r>
      <t xml:space="preserve">comb.waarde voor fundamentele comb., </t>
    </r>
    <r>
      <rPr>
        <sz val="10"/>
        <rFont val="Symbol"/>
        <family val="1"/>
      </rPr>
      <t>Y</t>
    </r>
    <r>
      <rPr>
        <vertAlign val="subscript"/>
        <sz val="10"/>
        <rFont val="Arial"/>
        <family val="2"/>
      </rPr>
      <t>0</t>
    </r>
    <r>
      <rPr>
        <sz val="10"/>
        <rFont val="Arial"/>
        <family val="2"/>
      </rPr>
      <t xml:space="preserve"> =</t>
    </r>
    <phoneticPr fontId="0" type="noConversion"/>
  </si>
  <si>
    <r>
      <t xml:space="preserve">comb.waarde voor buitengewone comb., </t>
    </r>
    <r>
      <rPr>
        <sz val="10"/>
        <rFont val="Symbol"/>
        <family val="1"/>
      </rPr>
      <t>Y</t>
    </r>
    <r>
      <rPr>
        <vertAlign val="subscript"/>
        <sz val="10"/>
        <rFont val="Arial"/>
        <family val="2"/>
      </rPr>
      <t>2</t>
    </r>
    <r>
      <rPr>
        <sz val="10"/>
        <rFont val="Arial"/>
        <family val="2"/>
      </rPr>
      <t xml:space="preserve"> =</t>
    </r>
    <phoneticPr fontId="0" type="noConversion"/>
  </si>
  <si>
    <r>
      <t xml:space="preserve">belast.factor perm. vloerbelasting (fund.), </t>
    </r>
    <r>
      <rPr>
        <sz val="10"/>
        <rFont val="Symbol"/>
        <family val="1"/>
      </rPr>
      <t>g</t>
    </r>
    <r>
      <rPr>
        <vertAlign val="subscript"/>
        <sz val="10"/>
        <rFont val="Arial"/>
        <family val="2"/>
      </rPr>
      <t>G</t>
    </r>
    <r>
      <rPr>
        <sz val="10"/>
        <rFont val="Arial"/>
        <family val="2"/>
      </rPr>
      <t xml:space="preserve"> =</t>
    </r>
    <phoneticPr fontId="0" type="noConversion"/>
  </si>
  <si>
    <r>
      <t xml:space="preserve">belast.factor verand. vloerbelasting (fund.), </t>
    </r>
    <r>
      <rPr>
        <sz val="10"/>
        <rFont val="Symbol"/>
        <family val="1"/>
      </rPr>
      <t>g</t>
    </r>
    <r>
      <rPr>
        <vertAlign val="subscript"/>
        <sz val="10"/>
        <rFont val="Arial"/>
        <family val="2"/>
      </rPr>
      <t>Q</t>
    </r>
    <r>
      <rPr>
        <sz val="10"/>
        <rFont val="Arial"/>
        <family val="2"/>
      </rPr>
      <t xml:space="preserve"> =</t>
    </r>
    <phoneticPr fontId="0" type="noConversion"/>
  </si>
  <si>
    <t>Temperatuur</t>
    <phoneticPr fontId="0" type="noConversion"/>
  </si>
  <si>
    <t>Vloeigrens</t>
    <phoneticPr fontId="0" type="noConversion"/>
  </si>
  <si>
    <r>
      <t xml:space="preserve">effect niet-uniforme temperatuur in doorsnede, </t>
    </r>
    <r>
      <rPr>
        <sz val="10"/>
        <rFont val="Symbol"/>
        <family val="1"/>
      </rPr>
      <t>k</t>
    </r>
    <r>
      <rPr>
        <vertAlign val="subscript"/>
        <sz val="10"/>
        <rFont val="Arial"/>
        <family val="2"/>
      </rPr>
      <t>1</t>
    </r>
    <r>
      <rPr>
        <sz val="10"/>
        <rFont val="Arial"/>
        <family val="2"/>
      </rPr>
      <t xml:space="preserve"> =</t>
    </r>
  </si>
  <si>
    <r>
      <t xml:space="preserve">effect niet-uniforme temperatuur in lengterichting, </t>
    </r>
    <r>
      <rPr>
        <sz val="10"/>
        <rFont val="Symbol"/>
        <family val="1"/>
      </rPr>
      <t>k</t>
    </r>
    <r>
      <rPr>
        <vertAlign val="subscript"/>
        <sz val="10"/>
        <rFont val="Arial"/>
        <family val="2"/>
      </rPr>
      <t>2</t>
    </r>
    <r>
      <rPr>
        <sz val="10"/>
        <rFont val="Arial"/>
        <family val="2"/>
      </rPr>
      <t xml:space="preserve"> =</t>
    </r>
  </si>
  <si>
    <t>Toelichting</t>
  </si>
  <si>
    <t>Met deze spreadsheet kan de kritieke staaltemperatuur van vloerliggers worden berekend voor een groot toepassingsgebied. 
U voert de overspanningen van de ligger en de vloer in, de permanente vloerbelasting G, de veranderlijke vloerbelasting Q, het profieltype en de staalsoort. 
Het programma geeft het minimaal benodigde profiel op basis van het ontwerp bij 20°C. Als gebruiker kunt u desgewenst een zwaarder profiel kiezen of een hogere vloeigrens (een vorm van ‘overdimensioneren’). 
Het programma rekent de kritieke staaltemperatuur uit als functie van de benuttingsgraad. Daarbij wordt rekening gehouden met de effecten van een niet-uniforme temperatuurverdeling over de doorsnede en bij de opleggingen.</t>
  </si>
  <si>
    <t>Belastingen</t>
  </si>
  <si>
    <t>HEAA 100</t>
  </si>
  <si>
    <t>HEAA 120</t>
  </si>
  <si>
    <t>HEAA 140</t>
  </si>
  <si>
    <t>HEAA 160</t>
  </si>
  <si>
    <t>HEAA 180</t>
  </si>
  <si>
    <t>HEAA 200</t>
  </si>
  <si>
    <t>HEAA 220</t>
  </si>
  <si>
    <t>HEAA 240</t>
  </si>
  <si>
    <t>HEAA 260</t>
  </si>
  <si>
    <t>HEAA 280</t>
  </si>
  <si>
    <t>HEAA 300</t>
  </si>
  <si>
    <t>HEAA 320</t>
  </si>
  <si>
    <t>HEAA 340</t>
  </si>
  <si>
    <t>HEAA 360</t>
  </si>
  <si>
    <t>HEAA 400</t>
  </si>
  <si>
    <t>HEAA 450</t>
  </si>
  <si>
    <t>HEAA 500</t>
  </si>
  <si>
    <t>HEAA 550</t>
  </si>
  <si>
    <t>HEAA 600</t>
  </si>
  <si>
    <t>HEAA 650</t>
  </si>
  <si>
    <t>HEAA 700</t>
  </si>
  <si>
    <t>HEAA 800</t>
  </si>
  <si>
    <t>HEAA 900</t>
  </si>
  <si>
    <t>HEAA 1000</t>
  </si>
  <si>
    <t>HEAA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</si>
</sst>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0">
    <font>
      <sz val="10"/>
      <name val="Arial"/>
    </font>
    <font>
      <sz val="10"/>
      <name val="Arial"/>
      <family val="2"/>
    </font>
    <font>
      <sz val="8"/>
      <name val="Arial"/>
      <family val="2"/>
    </font>
    <font>
      <b/>
      <sz val="10"/>
      <name val="Arial"/>
      <family val="2"/>
    </font>
    <font>
      <sz val="10"/>
      <name val="Symbol"/>
      <family val="1"/>
    </font>
    <font>
      <b/>
      <sz val="12"/>
      <name val="Arial"/>
      <family val="2"/>
    </font>
    <font>
      <vertAlign val="superscript"/>
      <sz val="10"/>
      <name val="Arial"/>
      <family val="2"/>
    </font>
    <font>
      <vertAlign val="subscript"/>
      <sz val="10"/>
      <name val="Arial"/>
      <family val="2"/>
    </font>
    <font>
      <vertAlign val="subscript"/>
      <sz val="10"/>
      <name val="Symbol"/>
      <family val="1"/>
    </font>
    <font>
      <b/>
      <vertAlign val="subscript"/>
      <sz val="10"/>
      <name val="Arial"/>
      <family val="2"/>
    </font>
    <font>
      <sz val="8"/>
      <name val="Verdana"/>
      <family val="2"/>
    </font>
    <font>
      <sz val="9"/>
      <name val="Arial"/>
      <family val="2"/>
    </font>
    <font>
      <vertAlign val="superscript"/>
      <sz val="9"/>
      <name val="Arial"/>
      <family val="2"/>
    </font>
    <font>
      <sz val="10"/>
      <name val="MS Sans Serif"/>
      <family val="2"/>
    </font>
    <font>
      <sz val="10"/>
      <name val="Arial"/>
      <family val="2"/>
    </font>
    <font>
      <b/>
      <sz val="14"/>
      <name val="Arial"/>
      <family val="2"/>
    </font>
    <font>
      <sz val="12"/>
      <color rgb="FF000000"/>
      <name val="Arial"/>
      <family val="2"/>
    </font>
    <font>
      <sz val="10"/>
      <color rgb="FF000000"/>
      <name val="Arial"/>
      <family val="34"/>
    </font>
    <font>
      <sz val="10"/>
      <color rgb="FF000000"/>
      <name val="Arial"/>
      <family val="2"/>
    </font>
    <font>
      <sz val="10"/>
      <color rgb="FF0000FF"/>
      <name val="Arial"/>
      <family val="2"/>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45">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hair">
        <color indexed="64"/>
      </left>
      <right/>
      <top/>
      <bottom/>
      <diagonal/>
    </border>
    <border>
      <left/>
      <right style="thin">
        <color indexed="64"/>
      </right>
      <top/>
      <bottom/>
      <diagonal/>
    </border>
    <border>
      <left style="medium">
        <color indexed="64"/>
      </left>
      <right/>
      <top/>
      <bottom/>
      <diagonal/>
    </border>
    <border>
      <left/>
      <right style="hair">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s>
  <cellStyleXfs count="3">
    <xf numFmtId="0" fontId="0" fillId="0" borderId="0"/>
    <xf numFmtId="0" fontId="13" fillId="0" borderId="0"/>
    <xf numFmtId="0" fontId="1" fillId="0" borderId="0"/>
  </cellStyleXfs>
  <cellXfs count="187">
    <xf numFmtId="0" fontId="0" fillId="0" borderId="0" xfId="0"/>
    <xf numFmtId="0" fontId="3" fillId="0" borderId="0" xfId="0" applyFont="1"/>
    <xf numFmtId="0" fontId="3" fillId="0" borderId="0" xfId="0" applyFont="1" applyAlignment="1">
      <alignment horizontal="left"/>
    </xf>
    <xf numFmtId="0" fontId="1" fillId="0" borderId="0" xfId="0" applyFont="1"/>
    <xf numFmtId="0" fontId="5" fillId="0" borderId="1" xfId="0" applyFont="1" applyBorder="1" applyAlignment="1">
      <alignment vertical="center"/>
    </xf>
    <xf numFmtId="0" fontId="5"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5" fillId="0" borderId="5" xfId="0" applyFont="1" applyBorder="1" applyAlignment="1">
      <alignment vertical="center"/>
    </xf>
    <xf numFmtId="0" fontId="1" fillId="0" borderId="0" xfId="0" applyFont="1" applyAlignment="1">
      <alignment vertical="center"/>
    </xf>
    <xf numFmtId="0" fontId="1" fillId="0" borderId="6" xfId="2" applyBorder="1"/>
    <xf numFmtId="0" fontId="3" fillId="0" borderId="7" xfId="2" applyFont="1" applyBorder="1" applyAlignment="1">
      <alignment horizontal="right"/>
    </xf>
    <xf numFmtId="11" fontId="3" fillId="0" borderId="8" xfId="2" applyNumberFormat="1" applyFont="1" applyBorder="1" applyAlignment="1">
      <alignment horizontal="right"/>
    </xf>
    <xf numFmtId="11" fontId="3" fillId="0" borderId="7" xfId="2" applyNumberFormat="1" applyFont="1" applyBorder="1" applyAlignment="1">
      <alignment horizontal="right"/>
    </xf>
    <xf numFmtId="11" fontId="3" fillId="0" borderId="9" xfId="2" applyNumberFormat="1" applyFont="1" applyBorder="1" applyAlignment="1">
      <alignment horizontal="right"/>
    </xf>
    <xf numFmtId="11" fontId="3" fillId="0" borderId="10" xfId="2" applyNumberFormat="1" applyFont="1" applyBorder="1" applyAlignment="1">
      <alignment horizontal="right"/>
    </xf>
    <xf numFmtId="11" fontId="3" fillId="0" borderId="11" xfId="2" applyNumberFormat="1" applyFont="1" applyBorder="1" applyAlignment="1">
      <alignment horizontal="right"/>
    </xf>
    <xf numFmtId="0" fontId="3" fillId="0" borderId="12" xfId="0" applyFont="1" applyBorder="1"/>
    <xf numFmtId="0" fontId="11" fillId="0" borderId="13" xfId="2" applyFont="1" applyBorder="1"/>
    <xf numFmtId="0" fontId="11" fillId="0" borderId="14" xfId="2" applyFont="1" applyBorder="1" applyAlignment="1">
      <alignment horizontal="right"/>
    </xf>
    <xf numFmtId="11" fontId="11" fillId="0" borderId="15" xfId="2" applyNumberFormat="1" applyFont="1" applyBorder="1" applyAlignment="1">
      <alignment horizontal="right"/>
    </xf>
    <xf numFmtId="11" fontId="11" fillId="0" borderId="14" xfId="2" applyNumberFormat="1" applyFont="1" applyBorder="1" applyAlignment="1">
      <alignment horizontal="right"/>
    </xf>
    <xf numFmtId="11" fontId="11" fillId="0" borderId="16" xfId="2" applyNumberFormat="1" applyFont="1" applyBorder="1" applyAlignment="1">
      <alignment horizontal="right"/>
    </xf>
    <xf numFmtId="11" fontId="11" fillId="0" borderId="17" xfId="2" applyNumberFormat="1" applyFont="1" applyBorder="1" applyAlignment="1">
      <alignment horizontal="right"/>
    </xf>
    <xf numFmtId="0" fontId="11" fillId="0" borderId="18" xfId="2" applyFont="1" applyBorder="1" applyAlignment="1">
      <alignment horizontal="center"/>
    </xf>
    <xf numFmtId="0" fontId="11" fillId="0" borderId="19" xfId="2" applyFont="1" applyBorder="1" applyAlignment="1">
      <alignment horizontal="center"/>
    </xf>
    <xf numFmtId="0" fontId="11" fillId="0" borderId="20" xfId="2" applyFont="1" applyBorder="1" applyAlignment="1">
      <alignment horizontal="center"/>
    </xf>
    <xf numFmtId="0" fontId="11" fillId="0" borderId="21" xfId="2" applyFont="1" applyBorder="1" applyAlignment="1">
      <alignment horizontal="center"/>
    </xf>
    <xf numFmtId="0" fontId="11" fillId="0" borderId="19" xfId="0" applyFont="1" applyBorder="1" applyAlignment="1">
      <alignment horizontal="right"/>
    </xf>
    <xf numFmtId="0" fontId="11" fillId="0" borderId="22" xfId="0" applyFont="1" applyBorder="1" applyAlignment="1">
      <alignment horizontal="right"/>
    </xf>
    <xf numFmtId="0" fontId="11" fillId="0" borderId="21" xfId="0" applyFont="1" applyBorder="1" applyAlignment="1">
      <alignment horizontal="right"/>
    </xf>
    <xf numFmtId="0" fontId="11" fillId="0" borderId="23" xfId="0" applyFont="1" applyBorder="1"/>
    <xf numFmtId="11" fontId="1" fillId="2" borderId="24" xfId="1" applyNumberFormat="1" applyFont="1" applyFill="1" applyBorder="1"/>
    <xf numFmtId="0" fontId="1" fillId="2" borderId="0" xfId="0" applyFont="1" applyFill="1" applyAlignment="1">
      <alignment horizontal="center"/>
    </xf>
    <xf numFmtId="0" fontId="1" fillId="2" borderId="25" xfId="0" applyFont="1" applyFill="1" applyBorder="1" applyAlignment="1">
      <alignment horizontal="center"/>
    </xf>
    <xf numFmtId="0" fontId="1" fillId="2" borderId="12" xfId="0" applyFont="1" applyFill="1" applyBorder="1"/>
    <xf numFmtId="1" fontId="1" fillId="2" borderId="24" xfId="0" applyNumberFormat="1" applyFont="1" applyFill="1" applyBorder="1"/>
    <xf numFmtId="0" fontId="1" fillId="2" borderId="0" xfId="0" applyFont="1" applyFill="1"/>
    <xf numFmtId="0" fontId="1" fillId="2" borderId="25" xfId="0" applyFont="1" applyFill="1" applyBorder="1"/>
    <xf numFmtId="0" fontId="1" fillId="2" borderId="26" xfId="0" applyFont="1" applyFill="1" applyBorder="1"/>
    <xf numFmtId="0" fontId="1" fillId="2" borderId="27" xfId="2" applyFill="1" applyBorder="1"/>
    <xf numFmtId="0" fontId="1" fillId="2" borderId="0" xfId="2" applyFill="1"/>
    <xf numFmtId="11" fontId="1" fillId="2" borderId="24" xfId="2" applyNumberFormat="1" applyFill="1" applyBorder="1"/>
    <xf numFmtId="11" fontId="1" fillId="2" borderId="0" xfId="2" applyNumberFormat="1" applyFill="1"/>
    <xf numFmtId="11" fontId="1" fillId="2" borderId="25" xfId="2" applyNumberFormat="1" applyFill="1" applyBorder="1"/>
    <xf numFmtId="11" fontId="1" fillId="2" borderId="28" xfId="2" applyNumberFormat="1" applyFill="1" applyBorder="1"/>
    <xf numFmtId="11" fontId="1" fillId="2" borderId="26" xfId="2" applyNumberFormat="1" applyFill="1" applyBorder="1"/>
    <xf numFmtId="1" fontId="1" fillId="2" borderId="0" xfId="0" applyNumberFormat="1" applyFont="1" applyFill="1"/>
    <xf numFmtId="1" fontId="1" fillId="2" borderId="25" xfId="0" applyNumberFormat="1" applyFont="1" applyFill="1" applyBorder="1"/>
    <xf numFmtId="1" fontId="1" fillId="2" borderId="26" xfId="0" applyNumberFormat="1" applyFont="1" applyFill="1" applyBorder="1"/>
    <xf numFmtId="11" fontId="1" fillId="0" borderId="0" xfId="0" applyNumberFormat="1" applyFont="1"/>
    <xf numFmtId="0" fontId="1" fillId="0" borderId="0" xfId="0" applyFont="1" applyAlignment="1">
      <alignment horizontal="center"/>
    </xf>
    <xf numFmtId="0" fontId="3" fillId="0" borderId="8" xfId="2" applyFont="1" applyBorder="1" applyAlignment="1">
      <alignment horizontal="right"/>
    </xf>
    <xf numFmtId="11" fontId="1" fillId="2" borderId="25" xfId="1" applyNumberFormat="1" applyFont="1" applyFill="1" applyBorder="1"/>
    <xf numFmtId="11" fontId="11" fillId="0" borderId="17" xfId="2" applyNumberFormat="1" applyFont="1" applyBorder="1" applyAlignment="1">
      <alignment horizontal="center"/>
    </xf>
    <xf numFmtId="11" fontId="1" fillId="0" borderId="0" xfId="0" applyNumberFormat="1" applyFont="1" applyAlignment="1">
      <alignment horizontal="center"/>
    </xf>
    <xf numFmtId="11" fontId="11" fillId="0" borderId="29" xfId="2" applyNumberFormat="1" applyFont="1" applyBorder="1" applyAlignment="1">
      <alignment horizontal="center"/>
    </xf>
    <xf numFmtId="1" fontId="1" fillId="2" borderId="28" xfId="0" quotePrefix="1" applyNumberFormat="1" applyFont="1" applyFill="1" applyBorder="1" applyAlignment="1">
      <alignment horizontal="center"/>
    </xf>
    <xf numFmtId="1" fontId="1" fillId="2" borderId="26" xfId="0" quotePrefix="1" applyNumberFormat="1" applyFont="1" applyFill="1" applyBorder="1" applyAlignment="1">
      <alignment horizontal="center"/>
    </xf>
    <xf numFmtId="0" fontId="3" fillId="0" borderId="9" xfId="2" applyFont="1" applyBorder="1" applyAlignment="1">
      <alignment horizontal="right"/>
    </xf>
    <xf numFmtId="0" fontId="0" fillId="0" borderId="11" xfId="0" applyBorder="1" applyAlignment="1">
      <alignment horizontal="right"/>
    </xf>
    <xf numFmtId="0" fontId="0" fillId="0" borderId="10" xfId="0" applyBorder="1" applyAlignment="1">
      <alignment horizontal="right"/>
    </xf>
    <xf numFmtId="1" fontId="1" fillId="2" borderId="28" xfId="0" applyNumberFormat="1" applyFont="1" applyFill="1" applyBorder="1" applyAlignment="1">
      <alignment horizontal="center"/>
    </xf>
    <xf numFmtId="1" fontId="1" fillId="2" borderId="26" xfId="0" applyNumberFormat="1" applyFont="1" applyFill="1" applyBorder="1" applyAlignment="1">
      <alignment horizontal="center"/>
    </xf>
    <xf numFmtId="1" fontId="1" fillId="2" borderId="0" xfId="0" applyNumberFormat="1" applyFont="1" applyFill="1" applyAlignment="1">
      <alignment horizontal="center"/>
    </xf>
    <xf numFmtId="1" fontId="1" fillId="2" borderId="25" xfId="0" applyNumberFormat="1" applyFont="1" applyFill="1" applyBorder="1" applyAlignment="1">
      <alignment horizontal="center"/>
    </xf>
    <xf numFmtId="0" fontId="5" fillId="0" borderId="0" xfId="0" applyFont="1"/>
    <xf numFmtId="0" fontId="1" fillId="0" borderId="0" xfId="0" applyFont="1" applyAlignment="1">
      <alignment horizontal="left"/>
    </xf>
    <xf numFmtId="2" fontId="0" fillId="0" borderId="0" xfId="0" applyNumberFormat="1" applyAlignment="1">
      <alignment horizontal="center"/>
    </xf>
    <xf numFmtId="0" fontId="0" fillId="0" borderId="0" xfId="0" applyAlignment="1">
      <alignment horizontal="center"/>
    </xf>
    <xf numFmtId="0" fontId="14" fillId="0" borderId="0" xfId="0" applyFont="1"/>
    <xf numFmtId="0" fontId="14" fillId="0" borderId="0" xfId="0" applyFont="1" applyAlignment="1">
      <alignment horizontal="left"/>
    </xf>
    <xf numFmtId="164" fontId="14" fillId="0" borderId="0" xfId="0" applyNumberFormat="1" applyFont="1"/>
    <xf numFmtId="1" fontId="14" fillId="0" borderId="0" xfId="0" applyNumberFormat="1" applyFont="1"/>
    <xf numFmtId="2" fontId="14" fillId="0" borderId="0" xfId="0" applyNumberFormat="1" applyFont="1"/>
    <xf numFmtId="1" fontId="3" fillId="0" borderId="0" xfId="0" applyNumberFormat="1" applyFont="1"/>
    <xf numFmtId="2" fontId="0" fillId="0" borderId="27" xfId="0" applyNumberFormat="1" applyBorder="1" applyAlignment="1">
      <alignment horizontal="center"/>
    </xf>
    <xf numFmtId="2" fontId="0" fillId="0" borderId="30" xfId="0" applyNumberFormat="1" applyBorder="1" applyAlignment="1">
      <alignment horizontal="center"/>
    </xf>
    <xf numFmtId="2" fontId="0" fillId="0" borderId="12" xfId="0" applyNumberFormat="1" applyBorder="1" applyAlignment="1">
      <alignment horizontal="center"/>
    </xf>
    <xf numFmtId="2" fontId="0" fillId="0" borderId="31" xfId="0" quotePrefix="1" applyNumberFormat="1" applyBorder="1" applyAlignment="1">
      <alignment horizontal="center"/>
    </xf>
    <xf numFmtId="1" fontId="0" fillId="0" borderId="12" xfId="0" applyNumberFormat="1" applyBorder="1" applyAlignment="1">
      <alignment horizontal="center"/>
    </xf>
    <xf numFmtId="1" fontId="0" fillId="0" borderId="31" xfId="0" quotePrefix="1" applyNumberFormat="1" applyBorder="1" applyAlignment="1">
      <alignment horizontal="center"/>
    </xf>
    <xf numFmtId="1" fontId="0" fillId="0" borderId="27" xfId="0" applyNumberFormat="1" applyBorder="1" applyAlignment="1">
      <alignment horizontal="center"/>
    </xf>
    <xf numFmtId="1" fontId="0" fillId="0" borderId="30" xfId="0" applyNumberFormat="1" applyBorder="1" applyAlignment="1">
      <alignment horizontal="center"/>
    </xf>
    <xf numFmtId="2" fontId="0" fillId="0" borderId="32" xfId="0" applyNumberFormat="1" applyBorder="1" applyAlignment="1">
      <alignment horizontal="center"/>
    </xf>
    <xf numFmtId="0" fontId="14" fillId="0" borderId="0" xfId="0" quotePrefix="1" applyFont="1"/>
    <xf numFmtId="0" fontId="1" fillId="3" borderId="27" xfId="2" applyFill="1" applyBorder="1"/>
    <xf numFmtId="11" fontId="1" fillId="3" borderId="24" xfId="1" applyNumberFormat="1" applyFont="1" applyFill="1" applyBorder="1"/>
    <xf numFmtId="1" fontId="1" fillId="3" borderId="28" xfId="0" quotePrefix="1" applyNumberFormat="1" applyFont="1" applyFill="1" applyBorder="1" applyAlignment="1">
      <alignment horizontal="center"/>
    </xf>
    <xf numFmtId="11" fontId="1" fillId="3" borderId="25" xfId="1" applyNumberFormat="1" applyFont="1" applyFill="1" applyBorder="1"/>
    <xf numFmtId="1" fontId="1" fillId="3" borderId="26" xfId="0" quotePrefix="1" applyNumberFormat="1" applyFont="1" applyFill="1" applyBorder="1" applyAlignment="1">
      <alignment horizontal="center"/>
    </xf>
    <xf numFmtId="0" fontId="1" fillId="3" borderId="0" xfId="2" applyFill="1"/>
    <xf numFmtId="11" fontId="1" fillId="3" borderId="24" xfId="2" applyNumberFormat="1" applyFill="1" applyBorder="1"/>
    <xf numFmtId="11" fontId="1" fillId="3" borderId="0" xfId="2" applyNumberFormat="1" applyFill="1"/>
    <xf numFmtId="11" fontId="1" fillId="3" borderId="25" xfId="2" applyNumberFormat="1" applyFill="1" applyBorder="1"/>
    <xf numFmtId="11" fontId="1" fillId="3" borderId="28" xfId="2" applyNumberFormat="1" applyFill="1" applyBorder="1"/>
    <xf numFmtId="11" fontId="1" fillId="3" borderId="26" xfId="2" applyNumberFormat="1" applyFill="1" applyBorder="1"/>
    <xf numFmtId="1" fontId="1" fillId="3" borderId="0" xfId="0" applyNumberFormat="1" applyFont="1" applyFill="1" applyAlignment="1">
      <alignment horizontal="center"/>
    </xf>
    <xf numFmtId="1" fontId="1" fillId="3" borderId="25" xfId="0" applyNumberFormat="1" applyFont="1" applyFill="1" applyBorder="1" applyAlignment="1">
      <alignment horizontal="center"/>
    </xf>
    <xf numFmtId="1" fontId="1" fillId="3" borderId="24" xfId="0" applyNumberFormat="1" applyFont="1" applyFill="1" applyBorder="1"/>
    <xf numFmtId="1" fontId="1" fillId="3" borderId="0" xfId="0" applyNumberFormat="1" applyFont="1" applyFill="1"/>
    <xf numFmtId="1" fontId="1" fillId="3" borderId="25" xfId="0" applyNumberFormat="1" applyFont="1" applyFill="1" applyBorder="1"/>
    <xf numFmtId="1" fontId="1" fillId="3" borderId="26" xfId="0" applyNumberFormat="1" applyFont="1" applyFill="1" applyBorder="1"/>
    <xf numFmtId="0" fontId="1" fillId="3" borderId="12" xfId="0" applyFont="1" applyFill="1" applyBorder="1"/>
    <xf numFmtId="0" fontId="1" fillId="3" borderId="0" xfId="0" applyFont="1" applyFill="1"/>
    <xf numFmtId="0" fontId="1" fillId="4" borderId="27" xfId="2" applyFill="1" applyBorder="1"/>
    <xf numFmtId="11" fontId="1" fillId="4" borderId="24" xfId="1" applyNumberFormat="1" applyFont="1" applyFill="1" applyBorder="1"/>
    <xf numFmtId="1" fontId="1" fillId="4" borderId="28" xfId="0" applyNumberFormat="1" applyFont="1" applyFill="1" applyBorder="1" applyAlignment="1">
      <alignment horizontal="center"/>
    </xf>
    <xf numFmtId="11" fontId="1" fillId="4" borderId="25" xfId="1" applyNumberFormat="1" applyFont="1" applyFill="1" applyBorder="1"/>
    <xf numFmtId="1" fontId="1" fillId="4" borderId="26" xfId="0" applyNumberFormat="1" applyFont="1" applyFill="1" applyBorder="1" applyAlignment="1">
      <alignment horizontal="center"/>
    </xf>
    <xf numFmtId="0" fontId="1" fillId="4" borderId="0" xfId="2" applyFill="1"/>
    <xf numFmtId="11" fontId="1" fillId="4" borderId="24" xfId="2" applyNumberFormat="1" applyFill="1" applyBorder="1"/>
    <xf numFmtId="11" fontId="1" fillId="4" borderId="0" xfId="2" applyNumberFormat="1" applyFill="1"/>
    <xf numFmtId="11" fontId="1" fillId="4" borderId="25" xfId="2" applyNumberFormat="1" applyFill="1" applyBorder="1"/>
    <xf numFmtId="11" fontId="1" fillId="4" borderId="28" xfId="2" applyNumberFormat="1" applyFill="1" applyBorder="1"/>
    <xf numFmtId="11" fontId="1" fillId="4" borderId="26" xfId="2" applyNumberFormat="1" applyFill="1" applyBorder="1"/>
    <xf numFmtId="1" fontId="1" fillId="4" borderId="0" xfId="0" applyNumberFormat="1" applyFont="1" applyFill="1" applyAlignment="1">
      <alignment horizontal="center"/>
    </xf>
    <xf numFmtId="1" fontId="1" fillId="4" borderId="25" xfId="0" applyNumberFormat="1" applyFont="1" applyFill="1" applyBorder="1" applyAlignment="1">
      <alignment horizontal="center"/>
    </xf>
    <xf numFmtId="2" fontId="1" fillId="4" borderId="24" xfId="0" applyNumberFormat="1" applyFont="1" applyFill="1" applyBorder="1"/>
    <xf numFmtId="0" fontId="1" fillId="4" borderId="0" xfId="0" applyFont="1" applyFill="1"/>
    <xf numFmtId="0" fontId="1" fillId="4" borderId="25" xfId="0" applyFont="1" applyFill="1" applyBorder="1"/>
    <xf numFmtId="0" fontId="1" fillId="4" borderId="26" xfId="0" applyFont="1" applyFill="1" applyBorder="1"/>
    <xf numFmtId="0" fontId="1" fillId="4" borderId="12" xfId="0" applyFont="1" applyFill="1" applyBorder="1"/>
    <xf numFmtId="1" fontId="1" fillId="4" borderId="28" xfId="0" quotePrefix="1" applyNumberFormat="1" applyFont="1" applyFill="1" applyBorder="1" applyAlignment="1">
      <alignment horizontal="center"/>
    </xf>
    <xf numFmtId="1" fontId="1" fillId="4" borderId="26" xfId="0" quotePrefix="1" applyNumberFormat="1" applyFont="1" applyFill="1" applyBorder="1" applyAlignment="1">
      <alignment horizontal="center"/>
    </xf>
    <xf numFmtId="1" fontId="1" fillId="4" borderId="24" xfId="0" applyNumberFormat="1" applyFont="1" applyFill="1" applyBorder="1"/>
    <xf numFmtId="1" fontId="1" fillId="4" borderId="0" xfId="0" applyNumberFormat="1" applyFont="1" applyFill="1"/>
    <xf numFmtId="1" fontId="1" fillId="4" borderId="25" xfId="0" applyNumberFormat="1" applyFont="1" applyFill="1" applyBorder="1"/>
    <xf numFmtId="1" fontId="1" fillId="4" borderId="26" xfId="0" applyNumberFormat="1" applyFont="1" applyFill="1" applyBorder="1"/>
    <xf numFmtId="0" fontId="1" fillId="4" borderId="30" xfId="2" applyFill="1" applyBorder="1"/>
    <xf numFmtId="11" fontId="1" fillId="4" borderId="33" xfId="1" applyNumberFormat="1" applyFont="1" applyFill="1" applyBorder="1"/>
    <xf numFmtId="1" fontId="1" fillId="4" borderId="34" xfId="0" quotePrefix="1" applyNumberFormat="1" applyFont="1" applyFill="1" applyBorder="1" applyAlignment="1">
      <alignment horizontal="center"/>
    </xf>
    <xf numFmtId="11" fontId="1" fillId="4" borderId="35" xfId="1" applyNumberFormat="1" applyFont="1" applyFill="1" applyBorder="1"/>
    <xf numFmtId="1" fontId="1" fillId="4" borderId="36" xfId="0" quotePrefix="1" applyNumberFormat="1" applyFont="1" applyFill="1" applyBorder="1" applyAlignment="1">
      <alignment horizontal="center"/>
    </xf>
    <xf numFmtId="0" fontId="1" fillId="4" borderId="37" xfId="2" applyFill="1" applyBorder="1"/>
    <xf numFmtId="11" fontId="1" fillId="4" borderId="33" xfId="2" applyNumberFormat="1" applyFill="1" applyBorder="1"/>
    <xf numFmtId="11" fontId="1" fillId="4" borderId="37" xfId="2" applyNumberFormat="1" applyFill="1" applyBorder="1"/>
    <xf numFmtId="11" fontId="1" fillId="4" borderId="35" xfId="2" applyNumberFormat="1" applyFill="1" applyBorder="1"/>
    <xf numFmtId="11" fontId="1" fillId="4" borderId="34" xfId="2" applyNumberFormat="1" applyFill="1" applyBorder="1"/>
    <xf numFmtId="11" fontId="1" fillId="4" borderId="36" xfId="2" applyNumberFormat="1" applyFill="1" applyBorder="1"/>
    <xf numFmtId="1" fontId="1" fillId="4" borderId="33" xfId="0" applyNumberFormat="1" applyFont="1" applyFill="1" applyBorder="1" applyAlignment="1">
      <alignment horizontal="center"/>
    </xf>
    <xf numFmtId="1" fontId="1" fillId="4" borderId="37" xfId="0" applyNumberFormat="1" applyFont="1" applyFill="1" applyBorder="1" applyAlignment="1">
      <alignment horizontal="center"/>
    </xf>
    <xf numFmtId="1" fontId="1" fillId="4" borderId="35" xfId="0" applyNumberFormat="1" applyFont="1" applyFill="1" applyBorder="1" applyAlignment="1">
      <alignment horizontal="center"/>
    </xf>
    <xf numFmtId="1" fontId="1" fillId="4" borderId="36" xfId="0" applyNumberFormat="1" applyFont="1" applyFill="1" applyBorder="1" applyAlignment="1">
      <alignment horizontal="center"/>
    </xf>
    <xf numFmtId="1" fontId="1" fillId="4" borderId="33" xfId="0" applyNumberFormat="1" applyFont="1" applyFill="1" applyBorder="1"/>
    <xf numFmtId="1" fontId="1" fillId="4" borderId="37" xfId="0" applyNumberFormat="1" applyFont="1" applyFill="1" applyBorder="1"/>
    <xf numFmtId="1" fontId="1" fillId="4" borderId="35" xfId="0" applyNumberFormat="1" applyFont="1" applyFill="1" applyBorder="1"/>
    <xf numFmtId="1" fontId="1" fillId="4" borderId="36" xfId="0" applyNumberFormat="1" applyFont="1" applyFill="1" applyBorder="1"/>
    <xf numFmtId="0" fontId="1" fillId="4" borderId="31" xfId="0" applyFont="1" applyFill="1" applyBorder="1"/>
    <xf numFmtId="0" fontId="1" fillId="0" borderId="0" xfId="0" applyFont="1" applyProtection="1">
      <protection locked="0"/>
    </xf>
    <xf numFmtId="164" fontId="1" fillId="0" borderId="0" xfId="0" applyNumberFormat="1" applyFont="1" applyProtection="1">
      <protection locked="0"/>
    </xf>
    <xf numFmtId="0" fontId="0" fillId="0" borderId="0" xfId="0" applyAlignment="1">
      <alignment wrapText="1"/>
    </xf>
    <xf numFmtId="0" fontId="14" fillId="0" borderId="0" xfId="0" applyFont="1" applyAlignment="1">
      <alignment vertical="top" wrapText="1"/>
    </xf>
    <xf numFmtId="0" fontId="0" fillId="0" borderId="0" xfId="0"/>
    <xf numFmtId="0" fontId="14" fillId="0" borderId="0" xfId="0" applyFont="1" applyAlignment="1">
      <alignment wrapText="1"/>
    </xf>
    <xf numFmtId="0" fontId="0" fillId="0" borderId="0" xfId="0" applyAlignment="1">
      <alignment wrapText="1"/>
    </xf>
    <xf numFmtId="0" fontId="0" fillId="0" borderId="0" xfId="0" applyAlignment="1">
      <alignment vertical="top" wrapText="1"/>
    </xf>
    <xf numFmtId="0" fontId="14" fillId="0" borderId="0" xfId="0" applyFont="1" applyAlignment="1">
      <alignment vertical="top" wrapText="1"/>
    </xf>
    <xf numFmtId="0" fontId="15" fillId="0" borderId="0" xfId="0" applyFont="1"/>
    <xf numFmtId="0" fontId="0" fillId="0" borderId="0" xfId="0"/>
    <xf numFmtId="0" fontId="14" fillId="0" borderId="0" xfId="0" quotePrefix="1" applyFont="1" applyAlignment="1" applyProtection="1">
      <alignment horizontal="right"/>
      <protection locked="0"/>
    </xf>
    <xf numFmtId="0" fontId="0" fillId="0" borderId="38" xfId="0"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wrapText="1"/>
    </xf>
    <xf numFmtId="0" fontId="0" fillId="0" borderId="39" xfId="0" applyBorder="1" applyAlignment="1">
      <alignment horizontal="center" vertical="center"/>
    </xf>
    <xf numFmtId="0" fontId="0" fillId="0" borderId="13" xfId="0" applyBorder="1" applyAlignment="1">
      <alignment horizontal="center" vertical="center"/>
    </xf>
    <xf numFmtId="165" fontId="3" fillId="0" borderId="40" xfId="0" applyNumberFormat="1" applyFont="1" applyBorder="1" applyAlignment="1">
      <alignment horizontal="center"/>
    </xf>
    <xf numFmtId="0" fontId="0" fillId="0" borderId="41" xfId="0" applyBorder="1" applyAlignment="1">
      <alignment horizontal="center"/>
    </xf>
    <xf numFmtId="165" fontId="3" fillId="0" borderId="42" xfId="0" applyNumberFormat="1" applyFont="1" applyBorder="1" applyAlignment="1">
      <alignment horizontal="center"/>
    </xf>
    <xf numFmtId="0" fontId="0" fillId="0" borderId="43" xfId="0" applyBorder="1" applyAlignment="1">
      <alignment horizont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4" fillId="0" borderId="4" xfId="0" applyFont="1" applyBorder="1" applyAlignment="1">
      <alignment horizontal="left" vertical="center"/>
    </xf>
    <xf numFmtId="0" fontId="5" fillId="0" borderId="3" xfId="0" applyFont="1" applyBorder="1" applyAlignment="1">
      <alignment vertical="center"/>
    </xf>
    <xf numFmtId="11" fontId="5" fillId="0" borderId="2" xfId="0" applyNumberFormat="1" applyFont="1" applyBorder="1" applyAlignment="1">
      <alignment vertical="center"/>
    </xf>
    <xf numFmtId="0" fontId="5" fillId="0" borderId="4" xfId="0" applyFont="1" applyBorder="1" applyAlignment="1">
      <alignment vertical="center"/>
    </xf>
    <xf numFmtId="0" fontId="14" fillId="0" borderId="3" xfId="0" applyFont="1" applyBorder="1" applyAlignment="1">
      <alignment horizontal="left" vertical="center"/>
    </xf>
    <xf numFmtId="0" fontId="3" fillId="0" borderId="40" xfId="0" applyFont="1" applyBorder="1" applyAlignment="1">
      <alignment horizontal="center"/>
    </xf>
    <xf numFmtId="0" fontId="3" fillId="0" borderId="42" xfId="0" applyFont="1" applyBorder="1" applyAlignment="1">
      <alignment horizontal="center"/>
    </xf>
    <xf numFmtId="0" fontId="3" fillId="0" borderId="41" xfId="0" applyFont="1" applyBorder="1" applyAlignment="1">
      <alignment horizontal="center"/>
    </xf>
    <xf numFmtId="0" fontId="3" fillId="0" borderId="44" xfId="0" applyFont="1" applyBorder="1" applyAlignment="1">
      <alignment horizontal="center"/>
    </xf>
    <xf numFmtId="0" fontId="3" fillId="0" borderId="43" xfId="0" applyFont="1" applyBorder="1" applyAlignment="1">
      <alignment horizontal="center"/>
    </xf>
    <xf numFmtId="164" fontId="19" fillId="5" borderId="0" xfId="0" applyNumberFormat="1" applyFont="1" applyFill="1" applyProtection="1">
      <protection locked="0"/>
    </xf>
    <xf numFmtId="2" fontId="19" fillId="5" borderId="0" xfId="0" applyNumberFormat="1" applyFont="1" applyFill="1" applyProtection="1">
      <protection locked="0"/>
    </xf>
    <xf numFmtId="49" fontId="19" fillId="5" borderId="0" xfId="0" applyNumberFormat="1" applyFont="1" applyFill="1" applyAlignment="1" applyProtection="1">
      <alignment horizontal="right"/>
      <protection locked="0"/>
    </xf>
    <xf numFmtId="0" fontId="19" fillId="5" borderId="0" xfId="0" applyFont="1" applyFill="1" applyAlignment="1" applyProtection="1">
      <alignment horizontal="right"/>
      <protection locked="0"/>
    </xf>
    <xf numFmtId="164" fontId="19" fillId="5" borderId="0" xfId="0" applyNumberFormat="1" applyFont="1" applyFill="1" applyAlignment="1" applyProtection="1">
      <alignment horizontal="right"/>
      <protection locked="0"/>
    </xf>
  </cellXfs>
  <cellStyles count="3">
    <cellStyle name="Standaard" xfId="0" builtinId="0"/>
    <cellStyle name="Standaard_opmaak buizen (2)" xfId="1" xr:uid="{00000000-0005-0000-0000-000001000000}"/>
    <cellStyle name="Standaard_opmaak warm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10</xdr:col>
      <xdr:colOff>34400</xdr:colOff>
      <xdr:row>6</xdr:row>
      <xdr:rowOff>76733</xdr:rowOff>
    </xdr:to>
    <xdr:pic>
      <xdr:nvPicPr>
        <xdr:cNvPr id="1141" name="Afbeelding 1" descr="logo BIS.jpg">
          <a:extLst>
            <a:ext uri="{FF2B5EF4-FFF2-40B4-BE49-F238E27FC236}">
              <a16:creationId xmlns:a16="http://schemas.microsoft.com/office/drawing/2014/main" id="{8456870B-BAD9-6C3A-DC57-70F47CDC7843}"/>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0400" y="0"/>
          <a:ext cx="1152000" cy="11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P85"/>
  <sheetViews>
    <sheetView showGridLines="0" tabSelected="1" zoomScale="150" zoomScaleNormal="150" workbookViewId="0">
      <selection sqref="A1:H1"/>
    </sheetView>
  </sheetViews>
  <sheetFormatPr baseColWidth="10" defaultColWidth="7.1640625" defaultRowHeight="13"/>
  <cols>
    <col min="1" max="1" width="7.33203125" style="70" customWidth="1"/>
    <col min="2" max="2" width="7.33203125" style="71" customWidth="1"/>
    <col min="3" max="11" width="7.33203125" style="70" customWidth="1"/>
    <col min="12" max="13" width="5.1640625" style="70" hidden="1" customWidth="1"/>
    <col min="14" max="14" width="5.83203125" style="70" hidden="1" customWidth="1"/>
    <col min="15" max="15" width="4.5" style="70" hidden="1" customWidth="1"/>
    <col min="16" max="16" width="4" style="70" hidden="1" customWidth="1"/>
    <col min="17" max="16384" width="7.1640625" style="70"/>
  </cols>
  <sheetData>
    <row r="1" spans="1:16" ht="18">
      <c r="A1" s="158" t="s">
        <v>184</v>
      </c>
      <c r="B1" s="159"/>
      <c r="C1" s="159"/>
      <c r="D1" s="159"/>
      <c r="E1" s="159"/>
      <c r="F1" s="159"/>
      <c r="G1" s="159"/>
      <c r="H1" s="159"/>
      <c r="I1"/>
      <c r="J1"/>
      <c r="K1" s="153"/>
      <c r="L1" s="70" t="s">
        <v>16</v>
      </c>
      <c r="M1" s="70">
        <v>235</v>
      </c>
      <c r="N1" s="70" t="s">
        <v>41</v>
      </c>
      <c r="O1" s="74">
        <v>0.7</v>
      </c>
      <c r="P1" s="70" t="s">
        <v>192</v>
      </c>
    </row>
    <row r="2" spans="1:16">
      <c r="A2" s="1"/>
      <c r="B2" s="2"/>
      <c r="C2" s="1"/>
      <c r="L2" s="70" t="s">
        <v>42</v>
      </c>
      <c r="M2" s="70">
        <v>275</v>
      </c>
      <c r="N2" t="s">
        <v>232</v>
      </c>
      <c r="O2" s="74">
        <v>0.85</v>
      </c>
      <c r="P2" s="70" t="s">
        <v>193</v>
      </c>
    </row>
    <row r="3" spans="1:16">
      <c r="B3" s="2"/>
      <c r="C3" s="1"/>
      <c r="L3" s="70" t="s">
        <v>44</v>
      </c>
      <c r="M3" s="70">
        <v>355</v>
      </c>
      <c r="N3" s="70" t="s">
        <v>43</v>
      </c>
      <c r="O3" s="74">
        <v>1</v>
      </c>
    </row>
    <row r="4" spans="1:16">
      <c r="A4" s="3" t="s">
        <v>183</v>
      </c>
      <c r="B4" s="2"/>
      <c r="C4" s="1"/>
      <c r="L4" s="70" t="s">
        <v>46</v>
      </c>
      <c r="M4" s="70">
        <v>420</v>
      </c>
      <c r="N4" s="70" t="s">
        <v>45</v>
      </c>
    </row>
    <row r="5" spans="1:16">
      <c r="A5" s="1"/>
      <c r="B5" s="2"/>
      <c r="C5" s="1"/>
      <c r="L5" s="70" t="s">
        <v>48</v>
      </c>
      <c r="M5" s="70">
        <v>460</v>
      </c>
      <c r="N5" s="70" t="s">
        <v>47</v>
      </c>
    </row>
    <row r="6" spans="1:16">
      <c r="A6" s="3" t="s">
        <v>143</v>
      </c>
      <c r="B6" s="2"/>
      <c r="C6" s="1"/>
    </row>
    <row r="7" spans="1:16">
      <c r="A7" s="3"/>
      <c r="B7" s="2"/>
      <c r="C7" s="1"/>
    </row>
    <row r="8" spans="1:16">
      <c r="A8" s="3"/>
      <c r="B8" s="2"/>
      <c r="C8" s="1"/>
    </row>
    <row r="9" spans="1:16" ht="16">
      <c r="A9" s="66" t="s">
        <v>205</v>
      </c>
      <c r="B9" s="2"/>
      <c r="C9" s="1"/>
    </row>
    <row r="10" spans="1:16">
      <c r="B10" s="2"/>
      <c r="C10" s="1"/>
    </row>
    <row r="11" spans="1:16">
      <c r="A11" s="156" t="s">
        <v>206</v>
      </c>
      <c r="B11" s="157"/>
      <c r="C11" s="157"/>
      <c r="D11" s="157"/>
      <c r="E11" s="157"/>
      <c r="F11" s="157"/>
      <c r="G11" s="157"/>
      <c r="H11" s="157"/>
      <c r="I11" s="157"/>
      <c r="J11" s="157"/>
      <c r="K11" s="152"/>
    </row>
    <row r="12" spans="1:16">
      <c r="A12" s="157"/>
      <c r="B12" s="157"/>
      <c r="C12" s="157"/>
      <c r="D12" s="157"/>
      <c r="E12" s="157"/>
      <c r="F12" s="157"/>
      <c r="G12" s="157"/>
      <c r="H12" s="157"/>
      <c r="I12" s="157"/>
      <c r="J12" s="157"/>
      <c r="K12" s="152"/>
    </row>
    <row r="13" spans="1:16">
      <c r="A13" s="157"/>
      <c r="B13" s="157"/>
      <c r="C13" s="157"/>
      <c r="D13" s="157"/>
      <c r="E13" s="157"/>
      <c r="F13" s="157"/>
      <c r="G13" s="157"/>
      <c r="H13" s="157"/>
      <c r="I13" s="157"/>
      <c r="J13" s="157"/>
      <c r="K13" s="152"/>
    </row>
    <row r="14" spans="1:16">
      <c r="A14" s="157"/>
      <c r="B14" s="157"/>
      <c r="C14" s="157"/>
      <c r="D14" s="157"/>
      <c r="E14" s="157"/>
      <c r="F14" s="157"/>
      <c r="G14" s="157"/>
      <c r="H14" s="157"/>
      <c r="I14" s="157"/>
      <c r="J14" s="157"/>
      <c r="K14" s="152"/>
    </row>
    <row r="15" spans="1:16">
      <c r="A15" s="157"/>
      <c r="B15" s="157"/>
      <c r="C15" s="157"/>
      <c r="D15" s="157"/>
      <c r="E15" s="157"/>
      <c r="F15" s="157"/>
      <c r="G15" s="157"/>
      <c r="H15" s="157"/>
      <c r="I15" s="157"/>
      <c r="J15" s="157"/>
      <c r="K15" s="152"/>
    </row>
    <row r="16" spans="1:16">
      <c r="A16" s="157"/>
      <c r="B16" s="157"/>
      <c r="C16" s="157"/>
      <c r="D16" s="157"/>
      <c r="E16" s="157"/>
      <c r="F16" s="157"/>
      <c r="G16" s="157"/>
      <c r="H16" s="157"/>
      <c r="I16" s="157"/>
      <c r="J16" s="157"/>
      <c r="K16" s="152"/>
    </row>
    <row r="17" spans="1:11">
      <c r="A17" s="157"/>
      <c r="B17" s="157"/>
      <c r="C17" s="157"/>
      <c r="D17" s="157"/>
      <c r="E17" s="157"/>
      <c r="F17" s="157"/>
      <c r="G17" s="157"/>
      <c r="H17" s="157"/>
      <c r="I17" s="157"/>
      <c r="J17" s="157"/>
      <c r="K17" s="152"/>
    </row>
    <row r="18" spans="1:11">
      <c r="A18" s="157"/>
      <c r="B18" s="157"/>
      <c r="C18" s="157"/>
      <c r="D18" s="157"/>
      <c r="E18" s="157"/>
      <c r="F18" s="157"/>
      <c r="G18" s="157"/>
      <c r="H18" s="157"/>
      <c r="I18" s="157"/>
      <c r="J18" s="157"/>
      <c r="K18" s="152"/>
    </row>
    <row r="19" spans="1:11">
      <c r="A19" s="157"/>
      <c r="B19" s="157"/>
      <c r="C19" s="157"/>
      <c r="D19" s="157"/>
      <c r="E19" s="157"/>
      <c r="F19" s="157"/>
      <c r="G19" s="157"/>
      <c r="H19" s="157"/>
      <c r="I19" s="157"/>
      <c r="J19" s="157"/>
      <c r="K19" s="152"/>
    </row>
    <row r="20" spans="1:11">
      <c r="A20" s="157"/>
      <c r="B20" s="157"/>
      <c r="C20" s="157"/>
      <c r="D20" s="157"/>
      <c r="E20" s="157"/>
      <c r="F20" s="157"/>
      <c r="G20" s="157"/>
      <c r="H20" s="157"/>
      <c r="I20" s="157"/>
      <c r="J20" s="157"/>
      <c r="K20" s="152"/>
    </row>
    <row r="21" spans="1:11">
      <c r="A21" s="157"/>
      <c r="B21" s="157"/>
      <c r="C21" s="157"/>
      <c r="D21" s="157"/>
      <c r="E21" s="157"/>
      <c r="F21" s="157"/>
      <c r="G21" s="157"/>
      <c r="H21" s="157"/>
      <c r="I21" s="157"/>
      <c r="J21" s="157"/>
      <c r="K21" s="152"/>
    </row>
    <row r="22" spans="1:11">
      <c r="B22" s="2"/>
      <c r="C22" s="1"/>
    </row>
    <row r="23" spans="1:11" ht="16">
      <c r="A23" s="66" t="s">
        <v>186</v>
      </c>
      <c r="B23" s="2"/>
      <c r="C23" s="1"/>
    </row>
    <row r="24" spans="1:11">
      <c r="A24" s="70" t="s">
        <v>185</v>
      </c>
      <c r="B24" s="2"/>
      <c r="C24" s="1"/>
    </row>
    <row r="25" spans="1:11">
      <c r="A25" s="70" t="s">
        <v>187</v>
      </c>
      <c r="B25" s="70"/>
      <c r="D25" s="182">
        <v>5</v>
      </c>
      <c r="E25" s="67" t="s">
        <v>52</v>
      </c>
    </row>
    <row r="26" spans="1:11">
      <c r="A26" s="70" t="s">
        <v>188</v>
      </c>
      <c r="B26" s="70"/>
      <c r="D26" s="182">
        <v>7.2</v>
      </c>
      <c r="E26" s="67" t="s">
        <v>52</v>
      </c>
    </row>
    <row r="27" spans="1:11">
      <c r="G27" s="2"/>
    </row>
    <row r="29" spans="1:11" ht="16">
      <c r="A29" s="66" t="s">
        <v>189</v>
      </c>
      <c r="B29" s="70"/>
      <c r="E29" s="1"/>
      <c r="F29" s="2"/>
    </row>
    <row r="30" spans="1:11">
      <c r="B30" s="70"/>
      <c r="E30" s="1"/>
      <c r="F30" s="2"/>
    </row>
    <row r="31" spans="1:11" ht="15">
      <c r="A31" s="70" t="s">
        <v>203</v>
      </c>
      <c r="B31" s="70"/>
      <c r="G31" s="183">
        <v>0.85</v>
      </c>
    </row>
    <row r="32" spans="1:11" ht="15">
      <c r="A32" s="70" t="s">
        <v>204</v>
      </c>
      <c r="B32" s="70"/>
      <c r="E32" s="1"/>
      <c r="G32" s="183">
        <v>1</v>
      </c>
    </row>
    <row r="34" spans="1:8">
      <c r="B34" s="70"/>
      <c r="E34" s="1"/>
      <c r="F34" s="2"/>
    </row>
    <row r="35" spans="1:8" ht="16">
      <c r="A35" s="66" t="s">
        <v>207</v>
      </c>
    </row>
    <row r="36" spans="1:8">
      <c r="A36" s="1"/>
      <c r="B36" s="70"/>
      <c r="E36" s="1"/>
      <c r="F36" s="2"/>
    </row>
    <row r="37" spans="1:8">
      <c r="A37" s="3" t="s">
        <v>191</v>
      </c>
      <c r="B37" s="70"/>
      <c r="E37" s="1"/>
      <c r="F37" s="2"/>
    </row>
    <row r="38" spans="1:8">
      <c r="A38" s="70" t="s">
        <v>190</v>
      </c>
      <c r="B38" s="70"/>
      <c r="F38" s="2"/>
    </row>
    <row r="39" spans="1:8">
      <c r="A39" s="3" t="s">
        <v>194</v>
      </c>
      <c r="B39" s="67"/>
      <c r="C39" s="3"/>
      <c r="D39" s="3"/>
      <c r="E39" s="3"/>
      <c r="G39" s="184" t="s">
        <v>144</v>
      </c>
      <c r="H39" s="67"/>
    </row>
    <row r="40" spans="1:8" ht="15">
      <c r="A40" s="3" t="s">
        <v>195</v>
      </c>
      <c r="B40" s="67"/>
      <c r="D40" s="3"/>
      <c r="E40" s="3"/>
      <c r="G40" s="149">
        <v>4.5999999999999996</v>
      </c>
      <c r="H40" s="67" t="s">
        <v>53</v>
      </c>
    </row>
    <row r="41" spans="1:8" ht="15">
      <c r="A41" s="3" t="s">
        <v>196</v>
      </c>
      <c r="B41" s="67"/>
      <c r="C41" s="3"/>
      <c r="D41" s="3"/>
      <c r="E41" s="3"/>
      <c r="G41" s="149">
        <f>IF(G$39="ja",2.5,0)</f>
        <v>2.5</v>
      </c>
      <c r="H41" s="67" t="s">
        <v>53</v>
      </c>
    </row>
    <row r="42" spans="1:8" ht="15">
      <c r="A42" s="3" t="s">
        <v>197</v>
      </c>
      <c r="B42" s="67"/>
      <c r="C42" s="3"/>
      <c r="D42" s="3"/>
      <c r="E42" s="3"/>
      <c r="G42" s="149">
        <f>IF(G$39="ja",0.5,0)</f>
        <v>0.5</v>
      </c>
      <c r="H42" s="67"/>
    </row>
    <row r="43" spans="1:8" ht="15">
      <c r="A43" s="3" t="s">
        <v>198</v>
      </c>
      <c r="B43" s="67"/>
      <c r="C43" s="3"/>
      <c r="D43" s="3"/>
      <c r="E43" s="3"/>
      <c r="G43" s="149">
        <f>IF(G$39="ja",0.3,0)</f>
        <v>0.3</v>
      </c>
      <c r="H43" s="67"/>
    </row>
    <row r="44" spans="1:8" ht="15">
      <c r="A44" s="3" t="s">
        <v>199</v>
      </c>
      <c r="B44" s="67"/>
      <c r="C44" s="3"/>
      <c r="D44" s="3"/>
      <c r="E44" s="3"/>
      <c r="G44" s="149">
        <v>1.2</v>
      </c>
      <c r="H44" s="67"/>
    </row>
    <row r="45" spans="1:8" ht="15">
      <c r="A45" s="3" t="s">
        <v>200</v>
      </c>
      <c r="B45" s="67"/>
      <c r="C45" s="3"/>
      <c r="D45" s="3"/>
      <c r="E45" s="3"/>
      <c r="G45" s="149">
        <v>1.5</v>
      </c>
      <c r="H45" s="67"/>
    </row>
    <row r="46" spans="1:8" ht="17">
      <c r="A46" s="3" t="s">
        <v>1</v>
      </c>
      <c r="B46" s="67"/>
      <c r="C46" s="3"/>
      <c r="D46" s="3"/>
      <c r="E46" s="3"/>
      <c r="G46" s="150">
        <v>1</v>
      </c>
      <c r="H46" s="67"/>
    </row>
    <row r="47" spans="1:8">
      <c r="A47" s="1"/>
      <c r="B47" s="2"/>
      <c r="G47" t="s">
        <v>22</v>
      </c>
    </row>
    <row r="48" spans="1:8" ht="15">
      <c r="A48" s="3" t="s">
        <v>178</v>
      </c>
      <c r="G48" s="72">
        <f>G44*G$40*D$26+G45*D$26*G$41</f>
        <v>66.744</v>
      </c>
      <c r="H48" s="71" t="s">
        <v>113</v>
      </c>
    </row>
    <row r="49" spans="1:13" ht="17">
      <c r="A49" s="70" t="s">
        <v>2</v>
      </c>
      <c r="G49" s="72">
        <f>G46*G$40*D$26+G46*D$26*G$41*G43</f>
        <v>38.519999999999996</v>
      </c>
      <c r="H49" s="71" t="s">
        <v>113</v>
      </c>
    </row>
    <row r="51" spans="1:13" ht="15">
      <c r="A51" s="3" t="s">
        <v>179</v>
      </c>
      <c r="G51" s="73">
        <f>1/8*G48*D25*D25</f>
        <v>208.57500000000002</v>
      </c>
      <c r="H51" s="71" t="s">
        <v>114</v>
      </c>
    </row>
    <row r="52" spans="1:13" ht="17">
      <c r="A52" s="3" t="s">
        <v>3</v>
      </c>
      <c r="G52" s="73">
        <f>1/8*G49*D25*D25</f>
        <v>120.37499999999997</v>
      </c>
      <c r="H52" s="71" t="s">
        <v>114</v>
      </c>
    </row>
    <row r="55" spans="1:13" ht="16">
      <c r="A55" s="66" t="s">
        <v>117</v>
      </c>
      <c r="B55" s="67"/>
      <c r="C55" s="3"/>
      <c r="D55" s="3"/>
      <c r="E55" s="3"/>
      <c r="F55" s="3"/>
      <c r="G55" s="3"/>
      <c r="H55" s="3"/>
      <c r="I55" s="3"/>
      <c r="J55" s="3"/>
      <c r="K55" s="3"/>
    </row>
    <row r="56" spans="1:13">
      <c r="A56" s="3"/>
      <c r="B56" s="67"/>
      <c r="C56" s="3"/>
      <c r="D56" s="3"/>
      <c r="E56" s="3"/>
      <c r="F56" s="3"/>
      <c r="G56" s="3"/>
      <c r="H56" s="3"/>
      <c r="I56" s="3"/>
      <c r="J56" s="3"/>
      <c r="K56" s="3"/>
      <c r="L56" s="71"/>
      <c r="M56" s="71"/>
    </row>
    <row r="57" spans="1:13">
      <c r="A57" s="3" t="s">
        <v>180</v>
      </c>
      <c r="B57" s="67"/>
      <c r="C57" s="3"/>
      <c r="D57" s="3"/>
      <c r="E57" s="3"/>
      <c r="F57" s="185" t="s">
        <v>48</v>
      </c>
      <c r="G57" s="67"/>
      <c r="H57" s="3" t="s">
        <v>122</v>
      </c>
      <c r="I57" s="3"/>
      <c r="J57" s="3"/>
      <c r="K57" s="3"/>
      <c r="L57" s="71"/>
      <c r="M57" s="71"/>
    </row>
    <row r="58" spans="1:13">
      <c r="A58" s="3"/>
      <c r="B58" s="67"/>
      <c r="C58" s="3"/>
      <c r="D58" s="3"/>
      <c r="E58" s="3"/>
      <c r="F58" s="3" t="s">
        <v>122</v>
      </c>
      <c r="G58" s="67"/>
      <c r="H58" s="3"/>
      <c r="I58" s="3"/>
      <c r="J58" s="3"/>
      <c r="K58" s="3"/>
      <c r="L58" s="71"/>
      <c r="M58" s="71"/>
    </row>
    <row r="59" spans="1:13">
      <c r="A59" s="3" t="s">
        <v>118</v>
      </c>
      <c r="B59" s="67"/>
      <c r="C59" s="3"/>
      <c r="D59" s="3"/>
      <c r="E59" s="3"/>
      <c r="F59" s="186" t="s">
        <v>41</v>
      </c>
      <c r="G59" s="67"/>
      <c r="H59" s="71"/>
      <c r="I59" s="71"/>
      <c r="J59" s="71"/>
      <c r="K59" s="71"/>
      <c r="L59" s="71"/>
      <c r="M59" s="71"/>
    </row>
    <row r="60" spans="1:13">
      <c r="A60" s="3" t="s">
        <v>119</v>
      </c>
      <c r="C60" s="3"/>
      <c r="D60" s="3"/>
      <c r="E60" s="160" t="str">
        <f>IF(F59="HEA",VLOOKUP(G51,HEA,38),IF(F59="HEAA",VLOOKUP(G51,HEAA,38),IF(F59="HEB",VLOOKUP(G51,HEB,38),IF(F59="HEM",VLOOKUP(G51,HEM,38),VLOOKUP(G51,IPE,38)))))</f>
        <v>HEA 220</v>
      </c>
      <c r="F60" s="159"/>
      <c r="G60" s="67"/>
      <c r="H60" s="71" t="s">
        <v>116</v>
      </c>
      <c r="I60" s="71"/>
      <c r="J60" s="71"/>
      <c r="K60" s="71"/>
      <c r="L60" s="71"/>
      <c r="M60" s="71"/>
    </row>
    <row r="61" spans="1:13">
      <c r="A61" s="3"/>
      <c r="B61" s="3"/>
      <c r="C61" s="3"/>
      <c r="D61" s="3"/>
      <c r="E61" s="3"/>
      <c r="F61" s="3"/>
      <c r="G61" s="3"/>
      <c r="H61" s="71"/>
      <c r="I61" s="71"/>
      <c r="J61" s="71"/>
      <c r="K61" s="71"/>
      <c r="L61" s="71"/>
      <c r="M61" s="71"/>
    </row>
    <row r="62" spans="1:13">
      <c r="A62" s="3" t="s">
        <v>120</v>
      </c>
      <c r="B62" s="3"/>
      <c r="C62" s="3"/>
      <c r="D62" s="3"/>
      <c r="E62" s="3"/>
      <c r="F62" s="70">
        <f>VLOOKUP(E60,DBASE,3,FALSE)</f>
        <v>3</v>
      </c>
      <c r="G62" s="3"/>
      <c r="H62" s="71"/>
      <c r="I62" s="71"/>
      <c r="J62" s="71"/>
      <c r="K62" s="71"/>
      <c r="L62" s="71"/>
      <c r="M62" s="71"/>
    </row>
    <row r="63" spans="1:13">
      <c r="A63" s="3" t="s">
        <v>181</v>
      </c>
      <c r="B63" s="3"/>
      <c r="C63" s="3"/>
      <c r="D63" s="3"/>
      <c r="E63" s="3"/>
      <c r="F63" s="70">
        <f>VLOOKUP(E60,DBASE,5,FALSE)</f>
        <v>3</v>
      </c>
      <c r="G63" s="3"/>
      <c r="H63" s="71"/>
      <c r="I63" s="71"/>
      <c r="J63" s="71"/>
      <c r="K63" s="71"/>
      <c r="L63" s="71"/>
      <c r="M63" s="71"/>
    </row>
    <row r="64" spans="1:13">
      <c r="H64" s="71"/>
      <c r="I64" s="71"/>
      <c r="J64" s="71"/>
      <c r="K64" s="71"/>
      <c r="L64" s="71"/>
      <c r="M64" s="71"/>
    </row>
    <row r="65" spans="1:14" ht="15">
      <c r="A65" s="3" t="s">
        <v>7</v>
      </c>
      <c r="B65" s="70"/>
      <c r="G65" s="73">
        <f>VLOOKUP(E60,DBASE,2,FALSE)</f>
        <v>236.99643419079888</v>
      </c>
      <c r="H65" s="70" t="s">
        <v>114</v>
      </c>
      <c r="I65" s="71"/>
      <c r="J65" s="71"/>
      <c r="K65" s="71"/>
      <c r="L65" s="71"/>
      <c r="M65" s="71"/>
    </row>
    <row r="66" spans="1:14">
      <c r="A66" s="3" t="str">
        <f>IF(F62=4,"(bovengrens belasting!, doorsnedeklasse 4) ","(berekening volgens NEN-EN 1993-1-1)")</f>
        <v>(berekening volgens NEN-EN 1993-1-1)</v>
      </c>
      <c r="B66" s="70"/>
      <c r="I66" s="71"/>
      <c r="J66" s="71"/>
      <c r="K66" s="71"/>
      <c r="L66" s="71"/>
      <c r="M66" s="71"/>
    </row>
    <row r="67" spans="1:14" ht="15">
      <c r="A67" s="3" t="s">
        <v>8</v>
      </c>
      <c r="B67" s="70"/>
      <c r="G67" s="73">
        <f>VLOOKUP(E60,DBASE,4,FALSE)</f>
        <v>278.81933434211635</v>
      </c>
      <c r="H67" s="70" t="s">
        <v>114</v>
      </c>
      <c r="I67" s="71"/>
      <c r="J67" s="71"/>
      <c r="K67" s="71"/>
      <c r="L67" s="71"/>
      <c r="M67" s="71"/>
    </row>
    <row r="68" spans="1:14">
      <c r="B68" s="70" t="s">
        <v>122</v>
      </c>
      <c r="C68" s="70" t="s">
        <v>182</v>
      </c>
      <c r="H68" s="70" t="s">
        <v>6</v>
      </c>
    </row>
    <row r="69" spans="1:14" ht="15">
      <c r="A69" s="3" t="s">
        <v>0</v>
      </c>
      <c r="B69" s="70"/>
      <c r="G69" s="74">
        <f>G52/G67</f>
        <v>0.43173117920257881</v>
      </c>
    </row>
    <row r="70" spans="1:14">
      <c r="A70" s="70" t="s">
        <v>122</v>
      </c>
      <c r="B70" s="70"/>
      <c r="C70" s="70" t="s">
        <v>122</v>
      </c>
    </row>
    <row r="71" spans="1:14">
      <c r="B71" s="70"/>
    </row>
    <row r="72" spans="1:14" ht="16">
      <c r="A72" s="66" t="s">
        <v>9</v>
      </c>
      <c r="B72" s="70"/>
    </row>
    <row r="73" spans="1:14">
      <c r="B73" s="70"/>
    </row>
    <row r="74" spans="1:14" ht="15">
      <c r="A74" s="1" t="s">
        <v>4</v>
      </c>
      <c r="B74" s="70"/>
      <c r="G74" s="75">
        <f>IF(F63=4,350,(482+39.19*LN(1/(0.9674*POWER(G69,3.833))-1)))</f>
        <v>607.92694750885778</v>
      </c>
      <c r="H74" s="70" t="s">
        <v>115</v>
      </c>
      <c r="L74" s="70" t="s">
        <v>10</v>
      </c>
      <c r="M74" s="70" t="s">
        <v>11</v>
      </c>
      <c r="N74" s="70" t="s">
        <v>11</v>
      </c>
    </row>
    <row r="75" spans="1:14" ht="15">
      <c r="A75" s="1" t="s">
        <v>5</v>
      </c>
      <c r="B75" s="70"/>
      <c r="G75" s="75">
        <f>IF(F63=4,350,(M75-G69)/(M75-L75)*100+M76)</f>
        <v>615.94534199892553</v>
      </c>
      <c r="H75" s="70" t="s">
        <v>115</v>
      </c>
      <c r="L75" s="85">
        <f>VLOOKUP(G69,ky!A3:B11,1,TRUE)</f>
        <v>0.23</v>
      </c>
      <c r="M75" s="70">
        <f>VLOOKUP(M76,ky!D3:E11,2)</f>
        <v>0.47</v>
      </c>
      <c r="N75" s="70" t="s">
        <v>12</v>
      </c>
    </row>
    <row r="76" spans="1:14">
      <c r="B76" s="70"/>
      <c r="L76" s="85">
        <f>VLOOKUP(G69,ky!A3:B11,2,TRUE)</f>
        <v>700</v>
      </c>
      <c r="M76" s="70">
        <f>IF(L76=400,400,(L76-100))</f>
        <v>600</v>
      </c>
    </row>
    <row r="77" spans="1:14">
      <c r="A77" s="154" t="str">
        <f>IF(F63=4,"De kritieke staaltemperatuur bij doorsnedeklasse 4 kan nauwkeuriger worden bepaald met Annex E van NEN-EN 1993-1-2.","")</f>
        <v/>
      </c>
      <c r="B77" s="155"/>
      <c r="C77" s="155"/>
      <c r="D77" s="155"/>
      <c r="E77" s="155"/>
      <c r="F77" s="155"/>
      <c r="G77" s="155"/>
      <c r="H77" s="155"/>
      <c r="I77" s="155"/>
      <c r="J77" s="155"/>
      <c r="K77" s="151"/>
    </row>
    <row r="78" spans="1:14">
      <c r="A78" s="155"/>
      <c r="B78" s="155"/>
      <c r="C78" s="155"/>
      <c r="D78" s="155"/>
      <c r="E78" s="155"/>
      <c r="F78" s="155"/>
      <c r="G78" s="155"/>
      <c r="H78" s="155"/>
      <c r="I78" s="155"/>
      <c r="J78" s="155"/>
      <c r="K78" s="151"/>
    </row>
    <row r="79" spans="1:14" ht="12" customHeight="1">
      <c r="B79" s="70"/>
    </row>
    <row r="80" spans="1:14">
      <c r="B80" s="70"/>
    </row>
    <row r="81" spans="2:2">
      <c r="B81" s="70"/>
    </row>
    <row r="82" spans="2:2">
      <c r="B82" s="70"/>
    </row>
    <row r="83" spans="2:2">
      <c r="B83" s="70"/>
    </row>
    <row r="84" spans="2:2">
      <c r="B84" s="70"/>
    </row>
    <row r="85" spans="2:2">
      <c r="B85" s="70"/>
    </row>
  </sheetData>
  <sheetProtection algorithmName="SHA-512" hashValue="VVhe6KFPZjQI5ek5g3um+JUCCYLfO7+2vz8uoH6TZfB0wVgbs22alxiVCrQ7R9Ilw5lm8oH9HQequYS1MBvEyQ==" saltValue="ru2VtlngLo5N0d/m22VxIw==" spinCount="100000" sheet="1" objects="1" scenarios="1"/>
  <mergeCells count="4">
    <mergeCell ref="A77:J78"/>
    <mergeCell ref="A11:J21"/>
    <mergeCell ref="A1:H1"/>
    <mergeCell ref="E60:F60"/>
  </mergeCells>
  <phoneticPr fontId="2" type="noConversion"/>
  <dataValidations count="3">
    <dataValidation type="list" allowBlank="1" showInputMessage="1" showErrorMessage="1" sqref="F59" xr:uid="{A15DD2B7-6E5C-2746-8677-CB9A7453E846}">
      <formula1>$N$1:$N$5</formula1>
    </dataValidation>
    <dataValidation type="list" allowBlank="1" showInputMessage="1" showErrorMessage="1" sqref="G39" xr:uid="{B660C08C-E6E1-5840-8438-7199008DE7F7}">
      <formula1>$P$1:$P$2</formula1>
    </dataValidation>
    <dataValidation type="list" allowBlank="1" showInputMessage="1" showErrorMessage="1" sqref="F57" xr:uid="{3220D194-4B19-B046-85CC-E7129A9B05E9}">
      <formula1>$L$1:$L$5</formula1>
    </dataValidation>
  </dataValidations>
  <pageMargins left="0.98425196850393704" right="0.98425196850393704" top="0.98425196850393704" bottom="1.1811023622047245" header="0.49212598425196852" footer="0.59055118110236227"/>
  <pageSetup paperSize="9" orientation="portrait"/>
  <headerFooter alignWithMargins="0">
    <oddFooter>&amp;L&amp;8&amp;D&amp;C&amp;8blad &amp;P van &amp;N&amp;R&amp;G</oddFooter>
  </headerFooter>
  <rowBreaks count="1" manualBreakCount="1">
    <brk id="34" max="16383" man="1"/>
  </rowBreaks>
  <ignoredErrors>
    <ignoredError sqref="G67 F63 G65" emptyCellReference="1"/>
  </ignoredErrors>
  <drawing r:id="rId1"/>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showGridLines="0" zoomScale="150" zoomScaleNormal="150" workbookViewId="0">
      <selection sqref="A1:H1"/>
    </sheetView>
  </sheetViews>
  <sheetFormatPr baseColWidth="10" defaultColWidth="11.33203125" defaultRowHeight="13"/>
  <cols>
    <col min="1" max="1" width="11.33203125" style="68"/>
    <col min="2" max="2" width="11.33203125" style="69"/>
    <col min="3" max="16384" width="11.33203125" style="68"/>
  </cols>
  <sheetData>
    <row r="1" spans="1:5">
      <c r="A1" s="164" t="s">
        <v>202</v>
      </c>
      <c r="B1" s="161" t="s">
        <v>201</v>
      </c>
      <c r="C1" s="163"/>
      <c r="D1" s="164" t="s">
        <v>201</v>
      </c>
      <c r="E1" s="161" t="s">
        <v>202</v>
      </c>
    </row>
    <row r="2" spans="1:5">
      <c r="A2" s="165"/>
      <c r="B2" s="162"/>
      <c r="C2" s="163"/>
      <c r="D2" s="165"/>
      <c r="E2" s="162"/>
    </row>
    <row r="3" spans="1:5">
      <c r="A3" s="76">
        <v>0</v>
      </c>
      <c r="B3" s="80">
        <v>1200</v>
      </c>
      <c r="C3" s="84"/>
      <c r="D3" s="82">
        <v>400</v>
      </c>
      <c r="E3" s="78">
        <v>1</v>
      </c>
    </row>
    <row r="4" spans="1:5">
      <c r="A4" s="76">
        <v>0.02</v>
      </c>
      <c r="B4" s="80">
        <v>1100</v>
      </c>
      <c r="C4" s="84"/>
      <c r="D4" s="82">
        <v>500</v>
      </c>
      <c r="E4" s="78">
        <v>0.78</v>
      </c>
    </row>
    <row r="5" spans="1:5">
      <c r="A5" s="76">
        <v>0.04</v>
      </c>
      <c r="B5" s="80">
        <v>1000</v>
      </c>
      <c r="C5" s="84"/>
      <c r="D5" s="82">
        <v>600</v>
      </c>
      <c r="E5" s="78">
        <v>0.47</v>
      </c>
    </row>
    <row r="6" spans="1:5">
      <c r="A6" s="76">
        <v>0.06</v>
      </c>
      <c r="B6" s="80">
        <v>900</v>
      </c>
      <c r="C6" s="84"/>
      <c r="D6" s="82">
        <v>700</v>
      </c>
      <c r="E6" s="78">
        <v>0.23</v>
      </c>
    </row>
    <row r="7" spans="1:5">
      <c r="A7" s="76">
        <v>0.11</v>
      </c>
      <c r="B7" s="80">
        <v>800</v>
      </c>
      <c r="C7" s="84"/>
      <c r="D7" s="82">
        <v>800</v>
      </c>
      <c r="E7" s="78">
        <v>0.11</v>
      </c>
    </row>
    <row r="8" spans="1:5">
      <c r="A8" s="76">
        <v>0.23</v>
      </c>
      <c r="B8" s="80">
        <v>700</v>
      </c>
      <c r="C8" s="84"/>
      <c r="D8" s="82">
        <v>900</v>
      </c>
      <c r="E8" s="78">
        <v>0.06</v>
      </c>
    </row>
    <row r="9" spans="1:5">
      <c r="A9" s="76">
        <v>0.47</v>
      </c>
      <c r="B9" s="80">
        <v>600</v>
      </c>
      <c r="C9" s="84"/>
      <c r="D9" s="82">
        <v>1000</v>
      </c>
      <c r="E9" s="78">
        <v>0.04</v>
      </c>
    </row>
    <row r="10" spans="1:5">
      <c r="A10" s="76">
        <v>0.78</v>
      </c>
      <c r="B10" s="80">
        <v>500</v>
      </c>
      <c r="C10" s="84"/>
      <c r="D10" s="82">
        <v>1100</v>
      </c>
      <c r="E10" s="78">
        <v>0.02</v>
      </c>
    </row>
    <row r="11" spans="1:5" ht="14" thickBot="1">
      <c r="A11" s="77">
        <v>1</v>
      </c>
      <c r="B11" s="81">
        <v>400</v>
      </c>
      <c r="C11" s="84"/>
      <c r="D11" s="83">
        <v>1200</v>
      </c>
      <c r="E11" s="79">
        <v>0</v>
      </c>
    </row>
  </sheetData>
  <sheetProtection selectLockedCells="1" selectUnlockedCells="1"/>
  <mergeCells count="5">
    <mergeCell ref="E1:E2"/>
    <mergeCell ref="B1:B2"/>
    <mergeCell ref="C1:C2"/>
    <mergeCell ref="A1:A2"/>
    <mergeCell ref="D1:D2"/>
  </mergeCells>
  <phoneticPr fontId="10" type="noConversion"/>
  <pageMargins left="0.98425196850393704" right="0.98425196850393704" top="0.98425196850393704" bottom="1.1811023622047245" header="0.49212598425196852" footer="0.59055118110236227"/>
  <pageSetup paperSize="9" orientation="portrait" horizontalDpi="4294967292" verticalDpi="429496729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122"/>
  <sheetViews>
    <sheetView showGridLines="0" zoomScale="125" workbookViewId="0">
      <pane ySplit="3" topLeftCell="A4" activePane="bottomLeft" state="frozen"/>
      <selection sqref="A1:H1"/>
      <selection pane="bottomLeft" sqref="A1:H1"/>
    </sheetView>
  </sheetViews>
  <sheetFormatPr baseColWidth="10" defaultColWidth="7.6640625" defaultRowHeight="13"/>
  <cols>
    <col min="1" max="1" width="16.5" style="3" customWidth="1"/>
    <col min="2" max="2" width="10.6640625" style="3" customWidth="1"/>
    <col min="3" max="3" width="5.1640625" style="55" customWidth="1"/>
    <col min="4" max="4" width="10.6640625" style="50" customWidth="1"/>
    <col min="5" max="5" width="5.1640625" style="55" customWidth="1"/>
    <col min="6" max="6" width="9.5" style="3" customWidth="1"/>
    <col min="7" max="7" width="5.1640625" style="3" customWidth="1"/>
    <col min="8" max="8" width="5.33203125" style="3" customWidth="1"/>
    <col min="9" max="10" width="5.1640625" style="3" customWidth="1"/>
    <col min="11" max="24" width="10.6640625" style="50" customWidth="1"/>
    <col min="25" max="34" width="5.1640625" style="51" customWidth="1"/>
    <col min="35" max="38" width="5.1640625" style="3" customWidth="1"/>
    <col min="39" max="39" width="20.33203125" style="3" customWidth="1"/>
    <col min="40" max="16384" width="7.6640625" style="3"/>
  </cols>
  <sheetData>
    <row r="1" spans="1:39" s="9" customFormat="1" ht="23" customHeight="1">
      <c r="A1" s="4" t="s">
        <v>17</v>
      </c>
      <c r="B1" s="170" t="s">
        <v>58</v>
      </c>
      <c r="C1" s="171"/>
      <c r="D1" s="171"/>
      <c r="E1" s="172"/>
      <c r="F1" s="173" t="s">
        <v>18</v>
      </c>
      <c r="G1" s="173"/>
      <c r="H1" s="173"/>
      <c r="I1" s="173"/>
      <c r="J1" s="173"/>
      <c r="K1" s="174" t="s">
        <v>19</v>
      </c>
      <c r="L1" s="173"/>
      <c r="M1" s="173"/>
      <c r="N1" s="173"/>
      <c r="O1" s="173"/>
      <c r="P1" s="173"/>
      <c r="Q1" s="173"/>
      <c r="R1" s="173"/>
      <c r="S1" s="173"/>
      <c r="T1" s="173"/>
      <c r="U1" s="173"/>
      <c r="V1" s="173"/>
      <c r="W1" s="173"/>
      <c r="X1" s="175"/>
      <c r="Y1" s="170" t="s">
        <v>15</v>
      </c>
      <c r="Z1" s="171"/>
      <c r="AA1" s="171"/>
      <c r="AB1" s="171"/>
      <c r="AC1" s="176"/>
      <c r="AD1" s="176"/>
      <c r="AE1" s="176"/>
      <c r="AF1" s="176"/>
      <c r="AG1" s="176"/>
      <c r="AH1" s="172"/>
      <c r="AI1" s="5" t="s">
        <v>20</v>
      </c>
      <c r="AJ1" s="6"/>
      <c r="AK1" s="6"/>
      <c r="AL1" s="7"/>
      <c r="AM1" s="8" t="s">
        <v>21</v>
      </c>
    </row>
    <row r="2" spans="1:39" ht="15">
      <c r="A2" s="10" t="s">
        <v>22</v>
      </c>
      <c r="B2" s="52" t="s">
        <v>57</v>
      </c>
      <c r="C2" s="61"/>
      <c r="D2" s="59" t="s">
        <v>56</v>
      </c>
      <c r="E2" s="60"/>
      <c r="F2" s="11" t="s">
        <v>23</v>
      </c>
      <c r="G2" s="11" t="s">
        <v>24</v>
      </c>
      <c r="H2" s="11" t="s">
        <v>25</v>
      </c>
      <c r="I2" s="11" t="s">
        <v>26</v>
      </c>
      <c r="J2" s="11" t="s">
        <v>27</v>
      </c>
      <c r="K2" s="12" t="s">
        <v>28</v>
      </c>
      <c r="L2" s="13" t="s">
        <v>29</v>
      </c>
      <c r="M2" s="13" t="s">
        <v>30</v>
      </c>
      <c r="N2" s="13" t="s">
        <v>31</v>
      </c>
      <c r="O2" s="14" t="s">
        <v>32</v>
      </c>
      <c r="P2" s="13" t="s">
        <v>33</v>
      </c>
      <c r="Q2" s="13" t="s">
        <v>50</v>
      </c>
      <c r="R2" s="15" t="s">
        <v>51</v>
      </c>
      <c r="S2" s="13" t="s">
        <v>145</v>
      </c>
      <c r="T2" s="13" t="s">
        <v>146</v>
      </c>
      <c r="U2" s="13" t="s">
        <v>147</v>
      </c>
      <c r="V2" s="13" t="s">
        <v>148</v>
      </c>
      <c r="W2" s="14" t="s">
        <v>149</v>
      </c>
      <c r="X2" s="16" t="s">
        <v>150</v>
      </c>
      <c r="Y2" s="177" t="s">
        <v>151</v>
      </c>
      <c r="Z2" s="178"/>
      <c r="AA2" s="178"/>
      <c r="AB2" s="178"/>
      <c r="AC2" s="179"/>
      <c r="AD2" s="180" t="s">
        <v>152</v>
      </c>
      <c r="AE2" s="178"/>
      <c r="AF2" s="178"/>
      <c r="AG2" s="178"/>
      <c r="AH2" s="181"/>
      <c r="AI2" s="166" t="s">
        <v>153</v>
      </c>
      <c r="AJ2" s="167"/>
      <c r="AK2" s="168" t="s">
        <v>154</v>
      </c>
      <c r="AL2" s="169"/>
      <c r="AM2" s="17"/>
    </row>
    <row r="3" spans="1:39">
      <c r="A3" s="18"/>
      <c r="B3" s="20" t="s">
        <v>54</v>
      </c>
      <c r="C3" s="54" t="s">
        <v>55</v>
      </c>
      <c r="D3" s="22" t="s">
        <v>54</v>
      </c>
      <c r="E3" s="56" t="s">
        <v>59</v>
      </c>
      <c r="F3" s="19" t="s">
        <v>155</v>
      </c>
      <c r="G3" s="19" t="s">
        <v>155</v>
      </c>
      <c r="H3" s="19" t="s">
        <v>155</v>
      </c>
      <c r="I3" s="19" t="s">
        <v>155</v>
      </c>
      <c r="J3" s="19" t="s">
        <v>155</v>
      </c>
      <c r="K3" s="20" t="s">
        <v>156</v>
      </c>
      <c r="L3" s="21" t="s">
        <v>156</v>
      </c>
      <c r="M3" s="21" t="s">
        <v>34</v>
      </c>
      <c r="N3" s="21" t="s">
        <v>35</v>
      </c>
      <c r="O3" s="22" t="s">
        <v>36</v>
      </c>
      <c r="P3" s="21" t="s">
        <v>37</v>
      </c>
      <c r="Q3" s="21" t="s">
        <v>37</v>
      </c>
      <c r="R3" s="23" t="s">
        <v>155</v>
      </c>
      <c r="S3" s="21" t="s">
        <v>36</v>
      </c>
      <c r="T3" s="21" t="s">
        <v>37</v>
      </c>
      <c r="U3" s="21" t="s">
        <v>37</v>
      </c>
      <c r="V3" s="21" t="s">
        <v>155</v>
      </c>
      <c r="W3" s="22" t="s">
        <v>36</v>
      </c>
      <c r="X3" s="21" t="s">
        <v>37</v>
      </c>
      <c r="Y3" s="24" t="s">
        <v>16</v>
      </c>
      <c r="Z3" s="25" t="s">
        <v>42</v>
      </c>
      <c r="AA3" s="25" t="s">
        <v>44</v>
      </c>
      <c r="AB3" s="25" t="s">
        <v>46</v>
      </c>
      <c r="AC3" s="25" t="s">
        <v>48</v>
      </c>
      <c r="AD3" s="26" t="s">
        <v>16</v>
      </c>
      <c r="AE3" s="25" t="s">
        <v>42</v>
      </c>
      <c r="AF3" s="25" t="s">
        <v>44</v>
      </c>
      <c r="AG3" s="25" t="s">
        <v>46</v>
      </c>
      <c r="AH3" s="27" t="s">
        <v>48</v>
      </c>
      <c r="AI3" s="28" t="s">
        <v>38</v>
      </c>
      <c r="AJ3" s="29" t="s">
        <v>39</v>
      </c>
      <c r="AK3" s="28" t="s">
        <v>40</v>
      </c>
      <c r="AL3" s="30" t="s">
        <v>39</v>
      </c>
      <c r="AM3" s="31"/>
    </row>
    <row r="4" spans="1:39">
      <c r="A4" s="40" t="s">
        <v>22</v>
      </c>
      <c r="B4" s="32">
        <v>0</v>
      </c>
      <c r="C4" s="62" t="s">
        <v>61</v>
      </c>
      <c r="D4" s="53" t="s">
        <v>61</v>
      </c>
      <c r="E4" s="63" t="s">
        <v>60</v>
      </c>
      <c r="F4" s="41" t="s">
        <v>60</v>
      </c>
      <c r="G4" s="41"/>
      <c r="H4" s="41"/>
      <c r="I4" s="41"/>
      <c r="J4" s="41"/>
      <c r="K4" s="42"/>
      <c r="L4" s="43"/>
      <c r="M4" s="43"/>
      <c r="N4" s="43"/>
      <c r="O4" s="44"/>
      <c r="P4" s="43"/>
      <c r="Q4" s="43"/>
      <c r="R4" s="45"/>
      <c r="S4" s="43"/>
      <c r="T4" s="43"/>
      <c r="U4" s="43"/>
      <c r="V4" s="43"/>
      <c r="W4" s="44"/>
      <c r="X4" s="46"/>
      <c r="Y4" s="33"/>
      <c r="Z4" s="33"/>
      <c r="AA4" s="33"/>
      <c r="AB4" s="33"/>
      <c r="AC4" s="33"/>
      <c r="AD4" s="34"/>
      <c r="AE4" s="33"/>
      <c r="AF4" s="33"/>
      <c r="AG4" s="33"/>
      <c r="AH4" s="33"/>
      <c r="AI4" s="36"/>
      <c r="AJ4" s="37"/>
      <c r="AK4" s="38"/>
      <c r="AL4" s="39"/>
      <c r="AM4" s="35" t="str">
        <f t="shared" ref="AM4:AM52" si="0">A5</f>
        <v>HEA 100</v>
      </c>
    </row>
    <row r="5" spans="1:39">
      <c r="A5" s="40" t="s">
        <v>82</v>
      </c>
      <c r="B5" s="32">
        <f>IF(C5&lt;=2,Q5,P5)*IF(head!F$57="S235",235,IF(head!F$57="S275",275,IF(head!F$57="S355",355,IF(head!F$57="S420",420,460))))/1000000</f>
        <v>38.186025273533943</v>
      </c>
      <c r="C5" s="57">
        <f>IF(head!$F$57="S235",Y5,IF(head!$F$57="S275",Z5,IF(head!$F$57="S355",AA5,IF(head!$F$57="S420",AB5,AC5))))</f>
        <v>1</v>
      </c>
      <c r="D5" s="53">
        <f>IF(E5&lt;=2,Q5,P5)*IF(head!F$57="S235",235,IF(head!F$57="S275",275,IF(head!F$57="S355",355,IF(head!F$57="S420",420,460))))/(head!$G$31*head!$G$32*1000000)</f>
        <v>44.92473561592228</v>
      </c>
      <c r="E5" s="58">
        <f>IF(head!$F$57="S235",AD5,IF(head!$F$57="S275",AE5,IF(head!$F$57="S355",AF5,IF(head!$F$57="S420",AG5,AH5))))</f>
        <v>1</v>
      </c>
      <c r="F5" s="41">
        <v>96</v>
      </c>
      <c r="G5" s="41">
        <v>100</v>
      </c>
      <c r="H5" s="41">
        <v>5</v>
      </c>
      <c r="I5" s="41">
        <v>8</v>
      </c>
      <c r="J5" s="41">
        <v>12</v>
      </c>
      <c r="K5" s="42">
        <v>16.670343664382099</v>
      </c>
      <c r="L5" s="43">
        <v>16.98888526306456</v>
      </c>
      <c r="M5" s="43">
        <v>2123.61065788307</v>
      </c>
      <c r="N5" s="43">
        <v>0.561398223686155</v>
      </c>
      <c r="O5" s="44">
        <v>3492251.4061307837</v>
      </c>
      <c r="P5" s="43">
        <v>72755.237627724666</v>
      </c>
      <c r="Q5" s="43">
        <v>83013.098420725961</v>
      </c>
      <c r="R5" s="45">
        <v>40.552282372974467</v>
      </c>
      <c r="S5" s="43">
        <v>1338109.7911703724</v>
      </c>
      <c r="T5" s="43">
        <v>26762.195823407448</v>
      </c>
      <c r="U5" s="43">
        <v>41140.354539304506</v>
      </c>
      <c r="V5" s="43">
        <v>25.10200583032579</v>
      </c>
      <c r="W5" s="44">
        <v>52011.697653646901</v>
      </c>
      <c r="X5" s="46">
        <v>2475143467.2709398</v>
      </c>
      <c r="Y5" s="64">
        <v>1</v>
      </c>
      <c r="Z5" s="64">
        <v>1</v>
      </c>
      <c r="AA5" s="64">
        <v>1</v>
      </c>
      <c r="AB5" s="64">
        <v>1</v>
      </c>
      <c r="AC5" s="64">
        <v>1</v>
      </c>
      <c r="AD5" s="65">
        <v>1</v>
      </c>
      <c r="AE5" s="64">
        <v>1</v>
      </c>
      <c r="AF5" s="64">
        <v>1</v>
      </c>
      <c r="AG5" s="64">
        <v>1</v>
      </c>
      <c r="AH5" s="64">
        <v>1</v>
      </c>
      <c r="AI5" s="36">
        <f t="shared" ref="AI5:AI28" si="1">N5/M5*1000000</f>
        <v>264.36024023621502</v>
      </c>
      <c r="AJ5" s="47">
        <f t="shared" ref="AJ5:AJ28" si="2">(N5*1000-G5)/M5*1000</f>
        <v>217.27062913976036</v>
      </c>
      <c r="AK5" s="48">
        <f>2*(F5+G5)/M5*1000</f>
        <v>184.59127549810228</v>
      </c>
      <c r="AL5" s="49">
        <f>(2*F5+G5)/M5*1000</f>
        <v>137.50166440164762</v>
      </c>
      <c r="AM5" s="35" t="str">
        <f t="shared" si="0"/>
        <v>HEA 120</v>
      </c>
    </row>
    <row r="6" spans="1:39">
      <c r="A6" s="40" t="s">
        <v>83</v>
      </c>
      <c r="B6" s="32">
        <f>IF(C6&lt;=2,Q6,P6)*IF(head!F$57="S235",235,IF(head!F$57="S275",275,IF(head!F$57="S355",355,IF(head!F$57="S420",420,460))))/1000000</f>
        <v>54.965673397169851</v>
      </c>
      <c r="C6" s="57">
        <f>IF(head!$F$57="S235",Y6,IF(head!$F$57="S275",Z6,IF(head!$F$57="S355",AA6,IF(head!$F$57="S420",AB6,AC6))))</f>
        <v>1</v>
      </c>
      <c r="D6" s="53">
        <f>IF(E6&lt;=2,Q6,P6)*IF(head!F$57="S235",235,IF(head!F$57="S275",275,IF(head!F$57="S355",355,IF(head!F$57="S420",420,460))))/(head!$G$31*head!$G$32*1000000)</f>
        <v>64.665498114317472</v>
      </c>
      <c r="E6" s="58">
        <f>IF(head!$F$57="S235",AD6,IF(head!$F$57="S275",AE6,IF(head!$F$57="S355",AF6,IF(head!$F$57="S420",AG6,AH6))))</f>
        <v>2</v>
      </c>
      <c r="F6" s="41">
        <v>114</v>
      </c>
      <c r="G6" s="41">
        <v>120</v>
      </c>
      <c r="H6" s="41">
        <v>5</v>
      </c>
      <c r="I6" s="41">
        <v>8</v>
      </c>
      <c r="J6" s="41">
        <v>12</v>
      </c>
      <c r="K6" s="42">
        <v>19.888843664382101</v>
      </c>
      <c r="L6" s="43">
        <v>20.268885263064561</v>
      </c>
      <c r="M6" s="43">
        <v>2533.61065788307</v>
      </c>
      <c r="N6" s="43">
        <v>0.67739822368615499</v>
      </c>
      <c r="O6" s="44">
        <v>6061516.3076590467</v>
      </c>
      <c r="P6" s="43">
        <v>106342.39136243942</v>
      </c>
      <c r="Q6" s="43">
        <v>119490.59434167358</v>
      </c>
      <c r="R6" s="45">
        <v>48.912594538834639</v>
      </c>
      <c r="S6" s="43">
        <v>2308963.9578370391</v>
      </c>
      <c r="T6" s="43">
        <v>38482.73263061732</v>
      </c>
      <c r="U6" s="43">
        <v>58852.854539304506</v>
      </c>
      <c r="V6" s="43">
        <v>30.188298683246121</v>
      </c>
      <c r="W6" s="44">
        <v>59588.778493453501</v>
      </c>
      <c r="X6" s="46">
        <v>6284343369.73808</v>
      </c>
      <c r="Y6" s="64">
        <v>1</v>
      </c>
      <c r="Z6" s="64">
        <v>1</v>
      </c>
      <c r="AA6" s="64">
        <v>1</v>
      </c>
      <c r="AB6" s="64">
        <v>1</v>
      </c>
      <c r="AC6" s="64">
        <v>1</v>
      </c>
      <c r="AD6" s="65">
        <v>1</v>
      </c>
      <c r="AE6" s="64">
        <v>1</v>
      </c>
      <c r="AF6" s="64">
        <v>1</v>
      </c>
      <c r="AG6" s="64">
        <v>1</v>
      </c>
      <c r="AH6" s="64">
        <v>2</v>
      </c>
      <c r="AI6" s="36">
        <f>N6/M6*1000000</f>
        <v>267.36476718650511</v>
      </c>
      <c r="AJ6" s="47">
        <f t="shared" si="2"/>
        <v>220.00153099761698</v>
      </c>
      <c r="AK6" s="48">
        <f t="shared" ref="AK6:AK28" si="3">2*(F6+G6)/M6*1000</f>
        <v>184.71662113666358</v>
      </c>
      <c r="AL6" s="49">
        <f t="shared" ref="AL6:AL28" si="4">(2*F6+G6)/M6*1000</f>
        <v>137.35338494777548</v>
      </c>
      <c r="AM6" s="35" t="str">
        <f t="shared" si="0"/>
        <v>HEA 140</v>
      </c>
    </row>
    <row r="7" spans="1:39">
      <c r="A7" s="40" t="s">
        <v>84</v>
      </c>
      <c r="B7" s="32">
        <f>IF(C7&lt;=2,Q7,P7)*IF(head!F$57="S235",235,IF(head!F$57="S275",275,IF(head!F$57="S355",355,IF(head!F$57="S420",420,460))))/1000000</f>
        <v>79.807741520805763</v>
      </c>
      <c r="C7" s="57">
        <f>IF(head!$F$57="S235",Y7,IF(head!$F$57="S275",Z7,IF(head!$F$57="S355",AA7,IF(head!$F$57="S420",AB7,AC7))))</f>
        <v>2</v>
      </c>
      <c r="D7" s="53">
        <f>IF(E7&lt;=2,Q7,P7)*IF(head!F$57="S235",235,IF(head!F$57="S275",275,IF(head!F$57="S355",355,IF(head!F$57="S420",420,460))))/(head!$G$31*head!$G$32*1000000)</f>
        <v>84.075997566591923</v>
      </c>
      <c r="E7" s="58">
        <f>IF(head!$F$57="S235",AD7,IF(head!$F$57="S275",AE7,IF(head!$F$57="S355",AF7,IF(head!$F$57="S420",AG7,AH7))))</f>
        <v>3</v>
      </c>
      <c r="F7" s="41">
        <v>133</v>
      </c>
      <c r="G7" s="41">
        <v>140</v>
      </c>
      <c r="H7" s="41">
        <v>5.5</v>
      </c>
      <c r="I7" s="41">
        <v>8.5</v>
      </c>
      <c r="J7" s="41">
        <v>12</v>
      </c>
      <c r="K7" s="42">
        <v>24.661643664382101</v>
      </c>
      <c r="L7" s="43">
        <v>25.132885263064559</v>
      </c>
      <c r="M7" s="43">
        <v>3141.61065788307</v>
      </c>
      <c r="N7" s="43">
        <v>0.79439822368615498</v>
      </c>
      <c r="O7" s="44">
        <v>10331295.135764366</v>
      </c>
      <c r="P7" s="43">
        <v>155357.8215904416</v>
      </c>
      <c r="Q7" s="43">
        <v>173495.0902626212</v>
      </c>
      <c r="R7" s="45">
        <v>57.345745547401073</v>
      </c>
      <c r="S7" s="43">
        <v>3893212.652439476</v>
      </c>
      <c r="T7" s="43">
        <v>55617.323606278231</v>
      </c>
      <c r="U7" s="43">
        <v>84848.507203775269</v>
      </c>
      <c r="V7" s="43">
        <v>35.202854632344852</v>
      </c>
      <c r="W7" s="44">
        <v>80341.112844012096</v>
      </c>
      <c r="X7" s="46">
        <v>14728365041.2337</v>
      </c>
      <c r="Y7" s="64">
        <v>1</v>
      </c>
      <c r="Z7" s="64">
        <v>1</v>
      </c>
      <c r="AA7" s="64">
        <v>1</v>
      </c>
      <c r="AB7" s="64">
        <v>1</v>
      </c>
      <c r="AC7" s="64">
        <v>2</v>
      </c>
      <c r="AD7" s="65">
        <v>1</v>
      </c>
      <c r="AE7" s="64">
        <v>1</v>
      </c>
      <c r="AF7" s="64">
        <v>2</v>
      </c>
      <c r="AG7" s="64">
        <v>3</v>
      </c>
      <c r="AH7" s="64">
        <v>3</v>
      </c>
      <c r="AI7" s="36">
        <f t="shared" si="1"/>
        <v>252.86335902025778</v>
      </c>
      <c r="AJ7" s="47">
        <f t="shared" si="2"/>
        <v>208.30023034334624</v>
      </c>
      <c r="AK7" s="48">
        <f t="shared" si="3"/>
        <v>173.79620183995507</v>
      </c>
      <c r="AL7" s="49">
        <f t="shared" si="4"/>
        <v>129.23307316304349</v>
      </c>
      <c r="AM7" s="35" t="str">
        <f t="shared" si="0"/>
        <v>HEA 160</v>
      </c>
    </row>
    <row r="8" spans="1:39">
      <c r="A8" s="40" t="s">
        <v>123</v>
      </c>
      <c r="B8" s="32">
        <f>IF(C8&lt;=2,Q8,P8)*IF(head!F$57="S235",235,IF(head!F$57="S275",275,IF(head!F$57="S355",355,IF(head!F$57="S420",420,460))))/1000000</f>
        <v>112.76778833837973</v>
      </c>
      <c r="C8" s="57">
        <f>IF(head!$F$57="S235",Y8,IF(head!$F$57="S275",Z8,IF(head!$F$57="S355",AA8,IF(head!$F$57="S420",AB8,AC8))))</f>
        <v>2</v>
      </c>
      <c r="D8" s="53">
        <f>IF(E8&lt;=2,Q8,P8)*IF(head!F$57="S235",235,IF(head!F$57="S275",275,IF(head!F$57="S355",355,IF(head!F$57="S420",420,460))))/(head!$G$31*head!$G$32*1000000)</f>
        <v>119.12836646850818</v>
      </c>
      <c r="E8" s="58">
        <f>IF(head!$F$57="S235",AD8,IF(head!$F$57="S275",AE8,IF(head!$F$57="S355",AF8,IF(head!$F$57="S420",AG8,AH8))))</f>
        <v>3</v>
      </c>
      <c r="F8" s="41">
        <v>152</v>
      </c>
      <c r="G8" s="41">
        <v>160</v>
      </c>
      <c r="H8" s="41">
        <v>6</v>
      </c>
      <c r="I8" s="41">
        <v>9</v>
      </c>
      <c r="J8" s="41">
        <v>15</v>
      </c>
      <c r="K8" s="42">
        <v>30.435561975597032</v>
      </c>
      <c r="L8" s="43">
        <v>31.017133223538373</v>
      </c>
      <c r="M8" s="43">
        <v>3877.1416529422968</v>
      </c>
      <c r="N8" s="43">
        <v>0.90624777960769376</v>
      </c>
      <c r="O8" s="44">
        <v>16729766.247533973</v>
      </c>
      <c r="P8" s="43">
        <v>220128.50325702596</v>
      </c>
      <c r="Q8" s="43">
        <v>245147.36595299942</v>
      </c>
      <c r="R8" s="45">
        <v>65.688463307454938</v>
      </c>
      <c r="S8" s="43">
        <v>6155729.1135313082</v>
      </c>
      <c r="T8" s="43">
        <v>76946.613919141353</v>
      </c>
      <c r="U8" s="43">
        <v>117632.54975296133</v>
      </c>
      <c r="V8" s="43">
        <v>39.845925249088701</v>
      </c>
      <c r="W8" s="44">
        <v>118438.61391652199</v>
      </c>
      <c r="X8" s="46">
        <v>30613902817.192902</v>
      </c>
      <c r="Y8" s="64">
        <v>1</v>
      </c>
      <c r="Z8" s="64">
        <v>1</v>
      </c>
      <c r="AA8" s="64">
        <v>1</v>
      </c>
      <c r="AB8" s="64">
        <v>2</v>
      </c>
      <c r="AC8" s="64">
        <v>2</v>
      </c>
      <c r="AD8" s="65">
        <v>1</v>
      </c>
      <c r="AE8" s="64">
        <v>1</v>
      </c>
      <c r="AF8" s="64">
        <v>2</v>
      </c>
      <c r="AG8" s="64">
        <v>3</v>
      </c>
      <c r="AH8" s="64">
        <v>3</v>
      </c>
      <c r="AI8" s="36">
        <f t="shared" si="1"/>
        <v>233.74120956348287</v>
      </c>
      <c r="AJ8" s="47">
        <f t="shared" si="2"/>
        <v>192.47369490391952</v>
      </c>
      <c r="AK8" s="48">
        <f t="shared" si="3"/>
        <v>160.94330717229715</v>
      </c>
      <c r="AL8" s="49">
        <f t="shared" si="4"/>
        <v>119.67579251273378</v>
      </c>
      <c r="AM8" s="35" t="str">
        <f t="shared" si="0"/>
        <v>HEA 180</v>
      </c>
    </row>
    <row r="9" spans="1:39">
      <c r="A9" s="40" t="s">
        <v>124</v>
      </c>
      <c r="B9" s="32">
        <f>IF(C9&lt;=2,Q9,P9)*IF(head!F$57="S235",235,IF(head!F$57="S275",275,IF(head!F$57="S355",355,IF(head!F$57="S420",420,460))))/1000000</f>
        <v>135.05636750812974</v>
      </c>
      <c r="C9" s="57">
        <f>IF(head!$F$57="S235",Y9,IF(head!$F$57="S275",Z9,IF(head!$F$57="S355",AA9,IF(head!$F$57="S420",AB9,AC9))))</f>
        <v>3</v>
      </c>
      <c r="D9" s="53">
        <f>IF(E9&lt;=2,Q9,P9)*IF(head!F$57="S235",235,IF(head!F$57="S275",275,IF(head!F$57="S355",355,IF(head!F$57="S420",420,460))))/(head!$G$31*head!$G$32*1000000)</f>
        <v>158.88984412721146</v>
      </c>
      <c r="E9" s="58">
        <f>IF(head!$F$57="S235",AD9,IF(head!$F$57="S275",AE9,IF(head!$F$57="S355",AF9,IF(head!$F$57="S420",AG9,AH9))))</f>
        <v>3</v>
      </c>
      <c r="F9" s="41">
        <v>171</v>
      </c>
      <c r="G9" s="41">
        <v>180</v>
      </c>
      <c r="H9" s="41">
        <v>6</v>
      </c>
      <c r="I9" s="41">
        <v>9.5</v>
      </c>
      <c r="J9" s="41">
        <v>15</v>
      </c>
      <c r="K9" s="42">
        <v>35.522361975597029</v>
      </c>
      <c r="L9" s="43">
        <v>36.201133223538378</v>
      </c>
      <c r="M9" s="43">
        <v>4525.1416529422968</v>
      </c>
      <c r="N9" s="43">
        <v>1.0242477796076936</v>
      </c>
      <c r="O9" s="44">
        <v>25102868.30857629</v>
      </c>
      <c r="P9" s="43">
        <v>293600.79893071682</v>
      </c>
      <c r="Q9" s="43">
        <v>324852.64082948008</v>
      </c>
      <c r="R9" s="45">
        <v>74.481014674610591</v>
      </c>
      <c r="S9" s="43">
        <v>9246053.1135313082</v>
      </c>
      <c r="T9" s="43">
        <v>102733.9234836812</v>
      </c>
      <c r="U9" s="43">
        <v>156494.54975296135</v>
      </c>
      <c r="V9" s="43">
        <v>45.202463335210901</v>
      </c>
      <c r="W9" s="44">
        <v>146601.964447659</v>
      </c>
      <c r="X9" s="46">
        <v>59012432423.846001</v>
      </c>
      <c r="Y9" s="64">
        <v>1</v>
      </c>
      <c r="Z9" s="64">
        <v>1</v>
      </c>
      <c r="AA9" s="64">
        <v>2</v>
      </c>
      <c r="AB9" s="64">
        <v>3</v>
      </c>
      <c r="AC9" s="64">
        <v>3</v>
      </c>
      <c r="AD9" s="65">
        <v>1</v>
      </c>
      <c r="AE9" s="64">
        <v>2</v>
      </c>
      <c r="AF9" s="64">
        <v>3</v>
      </c>
      <c r="AG9" s="64">
        <v>3</v>
      </c>
      <c r="AH9" s="64">
        <v>3</v>
      </c>
      <c r="AI9" s="36">
        <f t="shared" si="1"/>
        <v>226.34601481297642</v>
      </c>
      <c r="AJ9" s="47">
        <f t="shared" si="2"/>
        <v>186.56825451171335</v>
      </c>
      <c r="AK9" s="48">
        <f t="shared" si="3"/>
        <v>155.13326517492592</v>
      </c>
      <c r="AL9" s="49">
        <f t="shared" si="4"/>
        <v>115.35550487366288</v>
      </c>
      <c r="AM9" s="35" t="str">
        <f t="shared" si="0"/>
        <v>HEA 200</v>
      </c>
    </row>
    <row r="10" spans="1:39">
      <c r="A10" s="40" t="s">
        <v>125</v>
      </c>
      <c r="B10" s="32">
        <f>IF(C10&lt;=2,Q10,P10)*IF(head!F$57="S235",235,IF(head!F$57="S275",275,IF(head!F$57="S355",355,IF(head!F$57="S420",420,460))))/1000000</f>
        <v>178.77804250442833</v>
      </c>
      <c r="C10" s="57">
        <f>IF(head!$F$57="S235",Y10,IF(head!$F$57="S275",Z10,IF(head!$F$57="S355",AA10,IF(head!$F$57="S420",AB10,AC10))))</f>
        <v>3</v>
      </c>
      <c r="D10" s="53">
        <f>IF(E10&lt;=2,Q10,P10)*IF(head!F$57="S235",235,IF(head!F$57="S275",275,IF(head!F$57="S355",355,IF(head!F$57="S420",420,460))))/(head!$G$31*head!$G$32*1000000)</f>
        <v>210.3271088287392</v>
      </c>
      <c r="E10" s="58">
        <f>IF(head!$F$57="S235",AD10,IF(head!$F$57="S275",AE10,IF(head!$F$57="S355",AF10,IF(head!$F$57="S420",AG10,AH10))))</f>
        <v>3</v>
      </c>
      <c r="F10" s="41">
        <v>190</v>
      </c>
      <c r="G10" s="41">
        <v>200</v>
      </c>
      <c r="H10" s="41">
        <v>6.5</v>
      </c>
      <c r="I10" s="41">
        <v>10</v>
      </c>
      <c r="J10" s="41">
        <v>18</v>
      </c>
      <c r="K10" s="42">
        <v>42.257523244859726</v>
      </c>
      <c r="L10" s="43">
        <v>43.064991841895257</v>
      </c>
      <c r="M10" s="43">
        <v>5383.1239802369073</v>
      </c>
      <c r="N10" s="43">
        <v>1.1360973355292325</v>
      </c>
      <c r="O10" s="44">
        <v>36921552.256349325</v>
      </c>
      <c r="P10" s="43">
        <v>388647.91848788765</v>
      </c>
      <c r="Q10" s="43">
        <v>429484.80667587277</v>
      </c>
      <c r="R10" s="45">
        <v>82.817627412986894</v>
      </c>
      <c r="S10" s="43">
        <v>13355094.256391585</v>
      </c>
      <c r="T10" s="43">
        <v>133550.94256391586</v>
      </c>
      <c r="U10" s="43">
        <v>203817.7595800343</v>
      </c>
      <c r="V10" s="43">
        <v>49.808823949600452</v>
      </c>
      <c r="W10" s="44">
        <v>204400.521071225</v>
      </c>
      <c r="X10" s="46">
        <v>105574896985.228</v>
      </c>
      <c r="Y10" s="64">
        <v>1</v>
      </c>
      <c r="Z10" s="64">
        <v>1</v>
      </c>
      <c r="AA10" s="64">
        <v>2</v>
      </c>
      <c r="AB10" s="64">
        <v>3</v>
      </c>
      <c r="AC10" s="64">
        <v>3</v>
      </c>
      <c r="AD10" s="65">
        <v>2</v>
      </c>
      <c r="AE10" s="64">
        <v>3</v>
      </c>
      <c r="AF10" s="64">
        <v>3</v>
      </c>
      <c r="AG10" s="64">
        <v>3</v>
      </c>
      <c r="AH10" s="64">
        <v>3</v>
      </c>
      <c r="AI10" s="36">
        <f t="shared" si="1"/>
        <v>211.04796019935503</v>
      </c>
      <c r="AJ10" s="47">
        <f t="shared" si="2"/>
        <v>173.89481255975747</v>
      </c>
      <c r="AK10" s="48">
        <f t="shared" si="3"/>
        <v>144.89727579443056</v>
      </c>
      <c r="AL10" s="49">
        <f t="shared" si="4"/>
        <v>107.74412815483299</v>
      </c>
      <c r="AM10" s="35" t="str">
        <f t="shared" si="0"/>
        <v>HEA 220</v>
      </c>
    </row>
    <row r="11" spans="1:39">
      <c r="A11" s="40" t="s">
        <v>126</v>
      </c>
      <c r="B11" s="32">
        <f>IF(C11&lt;=2,Q11,P11)*IF(head!F$57="S235",235,IF(head!F$57="S275",275,IF(head!F$57="S355",355,IF(head!F$57="S420",420,460))))/1000000</f>
        <v>236.99643419079888</v>
      </c>
      <c r="C11" s="57">
        <f>IF(head!$F$57="S235",Y11,IF(head!$F$57="S275",Z11,IF(head!$F$57="S355",AA11,IF(head!$F$57="S420",AB11,AC11))))</f>
        <v>3</v>
      </c>
      <c r="D11" s="53">
        <f>IF(E11&lt;=2,Q11,P11)*IF(head!F$57="S235",235,IF(head!F$57="S275",275,IF(head!F$57="S355",355,IF(head!F$57="S420",420,460))))/(head!$G$31*head!$G$32*1000000)</f>
        <v>278.81933434211635</v>
      </c>
      <c r="E11" s="58">
        <f>IF(head!$F$57="S235",AD11,IF(head!$F$57="S275",AE11,IF(head!$F$57="S355",AF11,IF(head!$F$57="S420",AG11,AH11))))</f>
        <v>3</v>
      </c>
      <c r="F11" s="41">
        <v>210</v>
      </c>
      <c r="G11" s="41">
        <v>220</v>
      </c>
      <c r="H11" s="41">
        <v>7</v>
      </c>
      <c r="I11" s="41">
        <v>11</v>
      </c>
      <c r="J11" s="41">
        <v>18</v>
      </c>
      <c r="K11" s="42">
        <v>50.507873244859724</v>
      </c>
      <c r="L11" s="43">
        <v>51.472991841895258</v>
      </c>
      <c r="M11" s="43">
        <v>6434.1239802369073</v>
      </c>
      <c r="N11" s="43">
        <v>1.2550973355292325</v>
      </c>
      <c r="O11" s="44">
        <v>54097012.152247563</v>
      </c>
      <c r="P11" s="43">
        <v>515209.63954521494</v>
      </c>
      <c r="Q11" s="43">
        <v>568457.42249800498</v>
      </c>
      <c r="R11" s="45">
        <v>91.694212920945688</v>
      </c>
      <c r="S11" s="43">
        <v>19545605.8522637</v>
      </c>
      <c r="T11" s="43">
        <v>177687.32592967001</v>
      </c>
      <c r="U11" s="43">
        <v>270594.66557509347</v>
      </c>
      <c r="V11" s="43">
        <v>55.11627467466031</v>
      </c>
      <c r="W11" s="44">
        <v>280991.04778856802</v>
      </c>
      <c r="X11" s="46">
        <v>189608148809.23199</v>
      </c>
      <c r="Y11" s="64">
        <v>1</v>
      </c>
      <c r="Z11" s="64">
        <v>1</v>
      </c>
      <c r="AA11" s="64">
        <v>2</v>
      </c>
      <c r="AB11" s="64">
        <v>3</v>
      </c>
      <c r="AC11" s="64">
        <v>3</v>
      </c>
      <c r="AD11" s="65">
        <v>2</v>
      </c>
      <c r="AE11" s="64">
        <v>3</v>
      </c>
      <c r="AF11" s="64">
        <v>3</v>
      </c>
      <c r="AG11" s="64">
        <v>3</v>
      </c>
      <c r="AH11" s="64">
        <v>3</v>
      </c>
      <c r="AI11" s="36">
        <f t="shared" si="1"/>
        <v>195.0688764133854</v>
      </c>
      <c r="AJ11" s="47">
        <f t="shared" si="2"/>
        <v>160.87618745125889</v>
      </c>
      <c r="AK11" s="48">
        <f t="shared" si="3"/>
        <v>133.66232957922182</v>
      </c>
      <c r="AL11" s="49">
        <f t="shared" si="4"/>
        <v>99.469640617095308</v>
      </c>
      <c r="AM11" s="35" t="str">
        <f t="shared" si="0"/>
        <v>HEA 240</v>
      </c>
    </row>
    <row r="12" spans="1:39">
      <c r="A12" s="40" t="s">
        <v>127</v>
      </c>
      <c r="B12" s="32">
        <f>IF(C12&lt;=2,Q12,P12)*IF(head!F$57="S235",235,IF(head!F$57="S275",275,IF(head!F$57="S355",355,IF(head!F$57="S420",420,460))))/1000000</f>
        <v>310.52734219830774</v>
      </c>
      <c r="C12" s="57">
        <f>IF(head!$F$57="S235",Y12,IF(head!$F$57="S275",Z12,IF(head!$F$57="S355",AA12,IF(head!$F$57="S420",AB12,AC12))))</f>
        <v>3</v>
      </c>
      <c r="D12" s="53">
        <f>IF(E12&lt;=2,Q12,P12)*IF(head!F$57="S235",235,IF(head!F$57="S275",275,IF(head!F$57="S355",355,IF(head!F$57="S420",420,460))))/(head!$G$31*head!$G$32*1000000)</f>
        <v>365.3262849391856</v>
      </c>
      <c r="E12" s="58">
        <f>IF(head!$F$57="S235",AD12,IF(head!$F$57="S275",AE12,IF(head!$F$57="S355",AF12,IF(head!$F$57="S420",AG12,AH12))))</f>
        <v>3</v>
      </c>
      <c r="F12" s="41">
        <v>230</v>
      </c>
      <c r="G12" s="41">
        <v>240</v>
      </c>
      <c r="H12" s="41">
        <v>7.5</v>
      </c>
      <c r="I12" s="41">
        <v>12</v>
      </c>
      <c r="J12" s="41">
        <v>21</v>
      </c>
      <c r="K12" s="42">
        <v>60.315927472170173</v>
      </c>
      <c r="L12" s="43">
        <v>61.46846111813521</v>
      </c>
      <c r="M12" s="43">
        <v>7683.557639766901</v>
      </c>
      <c r="N12" s="43">
        <v>1.3689468914507714</v>
      </c>
      <c r="O12" s="44">
        <v>77631835.549576938</v>
      </c>
      <c r="P12" s="43">
        <v>675059.43956153863</v>
      </c>
      <c r="Q12" s="43">
        <v>744623.22646088596</v>
      </c>
      <c r="R12" s="45">
        <v>100.51682233023634</v>
      </c>
      <c r="S12" s="43">
        <v>27688082.381494008</v>
      </c>
      <c r="T12" s="43">
        <v>230734.01984578342</v>
      </c>
      <c r="U12" s="43">
        <v>351692.17658423079</v>
      </c>
      <c r="V12" s="43">
        <v>60.029574145360144</v>
      </c>
      <c r="W12" s="44">
        <v>410532.84167974902</v>
      </c>
      <c r="X12" s="46">
        <v>321632921889.30701</v>
      </c>
      <c r="Y12" s="64">
        <v>1</v>
      </c>
      <c r="Z12" s="64">
        <v>1</v>
      </c>
      <c r="AA12" s="64">
        <v>2</v>
      </c>
      <c r="AB12" s="64">
        <v>3</v>
      </c>
      <c r="AC12" s="64">
        <v>3</v>
      </c>
      <c r="AD12" s="65">
        <v>2</v>
      </c>
      <c r="AE12" s="64">
        <v>3</v>
      </c>
      <c r="AF12" s="64">
        <v>3</v>
      </c>
      <c r="AG12" s="64">
        <v>3</v>
      </c>
      <c r="AH12" s="64">
        <v>3</v>
      </c>
      <c r="AI12" s="36">
        <f t="shared" si="1"/>
        <v>178.16576065827519</v>
      </c>
      <c r="AJ12" s="47">
        <f t="shared" si="2"/>
        <v>146.93023002883604</v>
      </c>
      <c r="AK12" s="48">
        <f t="shared" si="3"/>
        <v>122.3391616319699</v>
      </c>
      <c r="AL12" s="49">
        <f t="shared" si="4"/>
        <v>91.103631002530776</v>
      </c>
      <c r="AM12" s="35" t="str">
        <f t="shared" si="0"/>
        <v>HEA 260</v>
      </c>
    </row>
    <row r="13" spans="1:39">
      <c r="A13" s="40" t="s">
        <v>128</v>
      </c>
      <c r="B13" s="32">
        <f>IF(C13&lt;=2,Q13,P13)*IF(head!F$57="S235",235,IF(head!F$57="S275",275,IF(head!F$57="S355",355,IF(head!F$57="S420",420,460))))/1000000</f>
        <v>384.74235993964766</v>
      </c>
      <c r="C13" s="57">
        <f>IF(head!$F$57="S235",Y13,IF(head!$F$57="S275",Z13,IF(head!$F$57="S355",AA13,IF(head!$F$57="S420",AB13,AC13))))</f>
        <v>3</v>
      </c>
      <c r="D13" s="53">
        <f>IF(E13&lt;=2,Q13,P13)*IF(head!F$57="S235",235,IF(head!F$57="S275",275,IF(head!F$57="S355",355,IF(head!F$57="S420",420,460))))/(head!$G$31*head!$G$32*1000000)</f>
        <v>452.63807051723256</v>
      </c>
      <c r="E13" s="58">
        <f>IF(head!$F$57="S235",AD13,IF(head!$F$57="S275",AE13,IF(head!$F$57="S355",AF13,IF(head!$F$57="S420",AG13,AH13))))</f>
        <v>3</v>
      </c>
      <c r="F13" s="41">
        <v>250</v>
      </c>
      <c r="G13" s="41">
        <v>260</v>
      </c>
      <c r="H13" s="41">
        <v>7.5</v>
      </c>
      <c r="I13" s="41">
        <v>12.5</v>
      </c>
      <c r="J13" s="41">
        <v>24</v>
      </c>
      <c r="K13" s="42">
        <v>68.153249657528406</v>
      </c>
      <c r="L13" s="43">
        <v>69.455541052258241</v>
      </c>
      <c r="M13" s="43">
        <v>8681.9426315322798</v>
      </c>
      <c r="N13" s="43">
        <v>1.48379644737231</v>
      </c>
      <c r="O13" s="44">
        <v>104549554.33142599</v>
      </c>
      <c r="P13" s="43">
        <v>836396.434651408</v>
      </c>
      <c r="Q13" s="43">
        <v>919771.04789060669</v>
      </c>
      <c r="R13" s="45">
        <v>109.73688725516251</v>
      </c>
      <c r="S13" s="43">
        <v>36675632.290801637</v>
      </c>
      <c r="T13" s="43">
        <v>282120.24839078181</v>
      </c>
      <c r="U13" s="43">
        <v>430168.84552502073</v>
      </c>
      <c r="V13" s="43">
        <v>64.995060003779187</v>
      </c>
      <c r="W13" s="44">
        <v>520318.92016946204</v>
      </c>
      <c r="X13" s="46">
        <v>504968898475.961</v>
      </c>
      <c r="Y13" s="64">
        <v>1</v>
      </c>
      <c r="Z13" s="64">
        <v>1</v>
      </c>
      <c r="AA13" s="64">
        <v>3</v>
      </c>
      <c r="AB13" s="64">
        <v>3</v>
      </c>
      <c r="AC13" s="64">
        <v>3</v>
      </c>
      <c r="AD13" s="65">
        <v>2</v>
      </c>
      <c r="AE13" s="64">
        <v>3</v>
      </c>
      <c r="AF13" s="64">
        <v>3</v>
      </c>
      <c r="AG13" s="64">
        <v>3</v>
      </c>
      <c r="AH13" s="64">
        <v>3</v>
      </c>
      <c r="AI13" s="36">
        <f t="shared" si="1"/>
        <v>170.90604146395219</v>
      </c>
      <c r="AJ13" s="47">
        <f t="shared" si="2"/>
        <v>140.95882676390383</v>
      </c>
      <c r="AK13" s="48">
        <f t="shared" si="3"/>
        <v>117.4852269001897</v>
      </c>
      <c r="AL13" s="49">
        <f t="shared" si="4"/>
        <v>87.538012200141353</v>
      </c>
      <c r="AM13" s="35" t="str">
        <f t="shared" si="0"/>
        <v>HEA 280</v>
      </c>
    </row>
    <row r="14" spans="1:39">
      <c r="A14" s="40" t="s">
        <v>129</v>
      </c>
      <c r="B14" s="32">
        <f>IF(C14&lt;=2,Q14,P14)*IF(head!F$57="S235",235,IF(head!F$57="S275",275,IF(head!F$57="S355",355,IF(head!F$57="S420",420,460))))/1000000</f>
        <v>465.90498287803405</v>
      </c>
      <c r="C14" s="57">
        <f>IF(head!$F$57="S235",Y14,IF(head!$F$57="S275",Z14,IF(head!$F$57="S355",AA14,IF(head!$F$57="S420",AB14,AC14))))</f>
        <v>3</v>
      </c>
      <c r="D14" s="53">
        <f>IF(E14&lt;=2,Q14,P14)*IF(head!F$57="S235",235,IF(head!F$57="S275",275,IF(head!F$57="S355",355,IF(head!F$57="S420",420,460))))/(head!$G$31*head!$G$32*1000000)</f>
        <v>548.12350926827537</v>
      </c>
      <c r="E14" s="58">
        <f>IF(head!$F$57="S235",AD14,IF(head!$F$57="S275",AE14,IF(head!$F$57="S355",AF14,IF(head!$F$57="S420",AG14,AH14))))</f>
        <v>4</v>
      </c>
      <c r="F14" s="41">
        <v>270</v>
      </c>
      <c r="G14" s="41">
        <v>280</v>
      </c>
      <c r="H14" s="41">
        <v>8</v>
      </c>
      <c r="I14" s="41">
        <v>13</v>
      </c>
      <c r="J14" s="41">
        <v>24</v>
      </c>
      <c r="K14" s="42">
        <v>76.352574657528407</v>
      </c>
      <c r="L14" s="43">
        <v>77.811541052258235</v>
      </c>
      <c r="M14" s="43">
        <v>9726.4426315322798</v>
      </c>
      <c r="N14" s="43">
        <v>1.60279644737231</v>
      </c>
      <c r="O14" s="44">
        <v>136732984.10551</v>
      </c>
      <c r="P14" s="43">
        <v>1012836.919300074</v>
      </c>
      <c r="Q14" s="43">
        <v>1112223.3778901633</v>
      </c>
      <c r="R14" s="45">
        <v>118.56585331516249</v>
      </c>
      <c r="S14" s="43">
        <v>47626416.095395282</v>
      </c>
      <c r="T14" s="43">
        <v>340188.68639568059</v>
      </c>
      <c r="U14" s="43">
        <v>518132.39368290373</v>
      </c>
      <c r="V14" s="43">
        <v>69.9756491748565</v>
      </c>
      <c r="W14" s="44">
        <v>614237.66016005201</v>
      </c>
      <c r="X14" s="46">
        <v>770111985661.77905</v>
      </c>
      <c r="Y14" s="64">
        <v>1</v>
      </c>
      <c r="Z14" s="64">
        <v>2</v>
      </c>
      <c r="AA14" s="64">
        <v>3</v>
      </c>
      <c r="AB14" s="64">
        <v>3</v>
      </c>
      <c r="AC14" s="64">
        <v>3</v>
      </c>
      <c r="AD14" s="65">
        <v>3</v>
      </c>
      <c r="AE14" s="64">
        <v>3</v>
      </c>
      <c r="AF14" s="64">
        <v>3</v>
      </c>
      <c r="AG14" s="64">
        <v>3</v>
      </c>
      <c r="AH14" s="64">
        <v>4</v>
      </c>
      <c r="AI14" s="36">
        <f t="shared" si="1"/>
        <v>164.78752901664001</v>
      </c>
      <c r="AJ14" s="47">
        <f t="shared" si="2"/>
        <v>136.00002565006852</v>
      </c>
      <c r="AK14" s="48">
        <f t="shared" si="3"/>
        <v>113.09376322581657</v>
      </c>
      <c r="AL14" s="49">
        <f t="shared" si="4"/>
        <v>84.306259859245088</v>
      </c>
      <c r="AM14" s="35" t="str">
        <f t="shared" si="0"/>
        <v>HEA 300</v>
      </c>
    </row>
    <row r="15" spans="1:39">
      <c r="A15" s="40" t="s">
        <v>130</v>
      </c>
      <c r="B15" s="32">
        <f>IF(C15&lt;=2,Q15,P15)*IF(head!F$57="S235",235,IF(head!F$57="S275",275,IF(head!F$57="S355",355,IF(head!F$57="S420",420,460))))/1000000</f>
        <v>579.39372562945721</v>
      </c>
      <c r="C15" s="57">
        <f>IF(head!$F$57="S235",Y15,IF(head!$F$57="S275",Z15,IF(head!$F$57="S355",AA15,IF(head!$F$57="S420",AB15,AC15))))</f>
        <v>3</v>
      </c>
      <c r="D15" s="53">
        <f>IF(E15&lt;=2,Q15,P15)*IF(head!F$57="S235",235,IF(head!F$57="S275",275,IF(head!F$57="S355",355,IF(head!F$57="S420",420,460))))/(head!$G$31*head!$G$32*1000000)</f>
        <v>681.63967721112613</v>
      </c>
      <c r="E15" s="58">
        <f>IF(head!$F$57="S235",AD15,IF(head!$F$57="S275",AE15,IF(head!$F$57="S355",AF15,IF(head!$F$57="S420",AG15,AH15))))</f>
        <v>3</v>
      </c>
      <c r="F15" s="41">
        <v>290</v>
      </c>
      <c r="G15" s="41">
        <v>300</v>
      </c>
      <c r="H15" s="41">
        <v>8.5</v>
      </c>
      <c r="I15" s="41">
        <v>14</v>
      </c>
      <c r="J15" s="41">
        <v>27</v>
      </c>
      <c r="K15" s="42">
        <v>88.334314800934365</v>
      </c>
      <c r="L15" s="43">
        <v>90.022231644264323</v>
      </c>
      <c r="M15" s="43">
        <v>11252.77895553304</v>
      </c>
      <c r="N15" s="43">
        <v>1.7166460032938489</v>
      </c>
      <c r="O15" s="44">
        <v>182634978.73102456</v>
      </c>
      <c r="P15" s="43">
        <v>1259551.5774553418</v>
      </c>
      <c r="Q15" s="43">
        <v>1383271.5113754363</v>
      </c>
      <c r="R15" s="45">
        <v>127.39784602954393</v>
      </c>
      <c r="S15" s="43">
        <v>63095590.871741958</v>
      </c>
      <c r="T15" s="43">
        <v>420637.27247827972</v>
      </c>
      <c r="U15" s="43">
        <v>641165.96736040746</v>
      </c>
      <c r="V15" s="43">
        <v>74.880651087555648</v>
      </c>
      <c r="W15" s="44">
        <v>842865.06005215202</v>
      </c>
      <c r="X15" s="46">
        <v>1174664602889.02</v>
      </c>
      <c r="Y15" s="64">
        <v>1</v>
      </c>
      <c r="Z15" s="64">
        <v>2</v>
      </c>
      <c r="AA15" s="64">
        <v>3</v>
      </c>
      <c r="AB15" s="64">
        <v>3</v>
      </c>
      <c r="AC15" s="64">
        <v>3</v>
      </c>
      <c r="AD15" s="65">
        <v>2</v>
      </c>
      <c r="AE15" s="64">
        <v>3</v>
      </c>
      <c r="AF15" s="64">
        <v>3</v>
      </c>
      <c r="AG15" s="64">
        <v>3</v>
      </c>
      <c r="AH15" s="64">
        <v>3</v>
      </c>
      <c r="AI15" s="36">
        <f t="shared" si="1"/>
        <v>152.55307245236224</v>
      </c>
      <c r="AJ15" s="47">
        <f t="shared" si="2"/>
        <v>125.89299131280615</v>
      </c>
      <c r="AK15" s="48">
        <f>2*(F15+G15)/M15*1000</f>
        <v>104.86298581558725</v>
      </c>
      <c r="AL15" s="49">
        <f t="shared" si="4"/>
        <v>78.202904676031181</v>
      </c>
      <c r="AM15" s="35" t="str">
        <f t="shared" si="0"/>
        <v>HEA 320</v>
      </c>
    </row>
    <row r="16" spans="1:39">
      <c r="A16" s="40" t="s">
        <v>131</v>
      </c>
      <c r="B16" s="32">
        <f>IF(C16&lt;=2,Q16,P16)*IF(head!F$57="S235",235,IF(head!F$57="S275",275,IF(head!F$57="S355",355,IF(head!F$57="S420",420,460))))/1000000</f>
        <v>680.46142329342592</v>
      </c>
      <c r="C16" s="57">
        <f>IF(head!$F$57="S235",Y16,IF(head!$F$57="S275",Z16,IF(head!$F$57="S355",AA16,IF(head!$F$57="S420",AB16,AC16))))</f>
        <v>3</v>
      </c>
      <c r="D16" s="53">
        <f>IF(E16&lt;=2,Q16,P16)*IF(head!F$57="S235",235,IF(head!F$57="S275",275,IF(head!F$57="S355",355,IF(head!F$57="S420",420,460))))/(head!$G$31*head!$G$32*1000000)</f>
        <v>800.54285093344231</v>
      </c>
      <c r="E16" s="58">
        <f>IF(head!$F$57="S235",AD16,IF(head!$F$57="S275",AE16,IF(head!$F$57="S355",AF16,IF(head!$F$57="S420",AG16,AH16))))</f>
        <v>3</v>
      </c>
      <c r="F16" s="41">
        <v>310</v>
      </c>
      <c r="G16" s="41">
        <v>300</v>
      </c>
      <c r="H16" s="41">
        <v>9</v>
      </c>
      <c r="I16" s="41">
        <v>15.5</v>
      </c>
      <c r="J16" s="41">
        <v>27</v>
      </c>
      <c r="K16" s="42">
        <v>97.628714800934361</v>
      </c>
      <c r="L16" s="43">
        <v>99.494231644264332</v>
      </c>
      <c r="M16" s="43">
        <v>12436.77895553304</v>
      </c>
      <c r="N16" s="43">
        <v>1.755646003293849</v>
      </c>
      <c r="O16" s="44">
        <v>229285914.37061092</v>
      </c>
      <c r="P16" s="43">
        <v>1479263.9636813607</v>
      </c>
      <c r="Q16" s="43">
        <v>1628089.3824974671</v>
      </c>
      <c r="R16" s="45">
        <v>135.77966414914602</v>
      </c>
      <c r="S16" s="43">
        <v>69852387.633273557</v>
      </c>
      <c r="T16" s="43">
        <v>465682.58422182372</v>
      </c>
      <c r="U16" s="43">
        <v>709739.78709929076</v>
      </c>
      <c r="V16" s="43">
        <v>74.943965640628292</v>
      </c>
      <c r="W16" s="44">
        <v>1088778.6014992499</v>
      </c>
      <c r="X16" s="46">
        <v>1482525583561.53</v>
      </c>
      <c r="Y16" s="64">
        <v>1</v>
      </c>
      <c r="Z16" s="64">
        <v>1</v>
      </c>
      <c r="AA16" s="64">
        <v>2</v>
      </c>
      <c r="AB16" s="64">
        <v>3</v>
      </c>
      <c r="AC16" s="64">
        <v>3</v>
      </c>
      <c r="AD16" s="65">
        <v>1</v>
      </c>
      <c r="AE16" s="64">
        <v>2</v>
      </c>
      <c r="AF16" s="64">
        <v>3</v>
      </c>
      <c r="AG16" s="64">
        <v>3</v>
      </c>
      <c r="AH16" s="64">
        <v>3</v>
      </c>
      <c r="AI16" s="36">
        <f t="shared" si="1"/>
        <v>141.16565145774936</v>
      </c>
      <c r="AJ16" s="47">
        <f t="shared" si="2"/>
        <v>117.0436500076446</v>
      </c>
      <c r="AK16" s="48">
        <f t="shared" si="3"/>
        <v>98.096139230425919</v>
      </c>
      <c r="AL16" s="49">
        <f t="shared" si="4"/>
        <v>73.974137780321172</v>
      </c>
      <c r="AM16" s="35" t="str">
        <f t="shared" si="0"/>
        <v>HEA 340</v>
      </c>
    </row>
    <row r="17" spans="1:39">
      <c r="A17" s="40" t="s">
        <v>132</v>
      </c>
      <c r="B17" s="32">
        <f>IF(C17&lt;=2,Q17,P17)*IF(head!F$57="S235",235,IF(head!F$57="S275",275,IF(head!F$57="S355",355,IF(head!F$57="S420",420,460))))/1000000</f>
        <v>772.05023547844382</v>
      </c>
      <c r="C17" s="57">
        <f>IF(head!$F$57="S235",Y17,IF(head!$F$57="S275",Z17,IF(head!$F$57="S355",AA17,IF(head!$F$57="S420",AB17,AC17))))</f>
        <v>3</v>
      </c>
      <c r="D17" s="53">
        <f>IF(E17&lt;=2,Q17,P17)*IF(head!F$57="S235",235,IF(head!F$57="S275",275,IF(head!F$57="S355",355,IF(head!F$57="S420",420,460))))/(head!$G$31*head!$G$32*1000000)</f>
        <v>908.29439468052215</v>
      </c>
      <c r="E17" s="58">
        <f>IF(head!$F$57="S235",AD17,IF(head!$F$57="S275",AE17,IF(head!$F$57="S355",AF17,IF(head!$F$57="S420",AG17,AH17))))</f>
        <v>3</v>
      </c>
      <c r="F17" s="41">
        <v>330</v>
      </c>
      <c r="G17" s="41">
        <v>300</v>
      </c>
      <c r="H17" s="41">
        <v>9.5</v>
      </c>
      <c r="I17" s="41">
        <v>16.5</v>
      </c>
      <c r="J17" s="41">
        <v>27</v>
      </c>
      <c r="K17" s="42">
        <v>104.77613980093436</v>
      </c>
      <c r="L17" s="43">
        <v>106.77823164426432</v>
      </c>
      <c r="M17" s="43">
        <v>13347.27895553304</v>
      </c>
      <c r="N17" s="43">
        <v>1.7946460032938489</v>
      </c>
      <c r="O17" s="44">
        <v>276931062.72596353</v>
      </c>
      <c r="P17" s="43">
        <v>1678370.0771270518</v>
      </c>
      <c r="Q17" s="43">
        <v>1850475.5180972645</v>
      </c>
      <c r="R17" s="45">
        <v>144.04210768744375</v>
      </c>
      <c r="S17" s="43">
        <v>74359992.544257924</v>
      </c>
      <c r="T17" s="43">
        <v>495733.28362838615</v>
      </c>
      <c r="U17" s="43">
        <v>755947.54433817405</v>
      </c>
      <c r="V17" s="43">
        <v>74.640286915810847</v>
      </c>
      <c r="W17" s="44">
        <v>1287720.31542385</v>
      </c>
      <c r="X17" s="46">
        <v>1790163326292.1201</v>
      </c>
      <c r="Y17" s="64">
        <v>1</v>
      </c>
      <c r="Z17" s="64">
        <v>1</v>
      </c>
      <c r="AA17" s="64">
        <v>1</v>
      </c>
      <c r="AB17" s="64">
        <v>2</v>
      </c>
      <c r="AC17" s="64">
        <v>3</v>
      </c>
      <c r="AD17" s="65">
        <v>1</v>
      </c>
      <c r="AE17" s="64">
        <v>2</v>
      </c>
      <c r="AF17" s="64">
        <v>3</v>
      </c>
      <c r="AG17" s="64">
        <v>3</v>
      </c>
      <c r="AH17" s="64">
        <v>3</v>
      </c>
      <c r="AI17" s="36">
        <f t="shared" si="1"/>
        <v>134.45781790226903</v>
      </c>
      <c r="AJ17" s="47">
        <f t="shared" si="2"/>
        <v>111.98132655152546</v>
      </c>
      <c r="AK17" s="48">
        <f t="shared" si="3"/>
        <v>94.401263673122969</v>
      </c>
      <c r="AL17" s="49">
        <f t="shared" si="4"/>
        <v>71.924772322379411</v>
      </c>
      <c r="AM17" s="35" t="str">
        <f t="shared" si="0"/>
        <v>HEA 360</v>
      </c>
    </row>
    <row r="18" spans="1:39">
      <c r="A18" s="40" t="s">
        <v>133</v>
      </c>
      <c r="B18" s="32">
        <f>IF(C18&lt;=2,Q18,P18)*IF(head!F$57="S235",235,IF(head!F$57="S275",275,IF(head!F$57="S355",355,IF(head!F$57="S420",420,460))))/1000000</f>
        <v>960.6978807006484</v>
      </c>
      <c r="C18" s="57">
        <f>IF(head!$F$57="S235",Y18,IF(head!$F$57="S275",Z18,IF(head!$F$57="S355",AA18,IF(head!$F$57="S420",AB18,AC18))))</f>
        <v>2</v>
      </c>
      <c r="D18" s="53">
        <f>IF(E18&lt;=2,Q18,P18)*IF(head!F$57="S235",235,IF(head!F$57="S275",275,IF(head!F$57="S355",355,IF(head!F$57="S420",420,460))))/(head!$G$31*head!$G$32*1000000)</f>
        <v>1023.2808908582975</v>
      </c>
      <c r="E18" s="58">
        <f>IF(head!$F$57="S235",AD18,IF(head!$F$57="S275",AE18,IF(head!$F$57="S355",AF18,IF(head!$F$57="S420",AG18,AH18))))</f>
        <v>3</v>
      </c>
      <c r="F18" s="41">
        <v>350</v>
      </c>
      <c r="G18" s="41">
        <v>300</v>
      </c>
      <c r="H18" s="41">
        <v>10</v>
      </c>
      <c r="I18" s="41">
        <v>17.5</v>
      </c>
      <c r="J18" s="41">
        <v>27</v>
      </c>
      <c r="K18" s="42">
        <v>112.06486480093436</v>
      </c>
      <c r="L18" s="43">
        <v>114.20623164426432</v>
      </c>
      <c r="M18" s="43">
        <v>14275.77895553304</v>
      </c>
      <c r="N18" s="43">
        <v>1.8336460032938489</v>
      </c>
      <c r="O18" s="44">
        <v>330897896.77211249</v>
      </c>
      <c r="P18" s="43">
        <v>1890845.1244120714</v>
      </c>
      <c r="Q18" s="43">
        <v>2088473.6536970618</v>
      </c>
      <c r="R18" s="45">
        <v>152.2464223771355</v>
      </c>
      <c r="S18" s="43">
        <v>78868434.865111738</v>
      </c>
      <c r="T18" s="43">
        <v>525789.56576741161</v>
      </c>
      <c r="U18" s="43">
        <v>802277.92657705722</v>
      </c>
      <c r="V18" s="43">
        <v>74.327872793724495</v>
      </c>
      <c r="W18" s="44">
        <v>1510703.4781973199</v>
      </c>
      <c r="X18" s="46">
        <v>2137653130202.47</v>
      </c>
      <c r="Y18" s="64">
        <v>1</v>
      </c>
      <c r="Z18" s="64">
        <v>1</v>
      </c>
      <c r="AA18" s="64">
        <v>1</v>
      </c>
      <c r="AB18" s="64">
        <v>2</v>
      </c>
      <c r="AC18" s="64">
        <v>2</v>
      </c>
      <c r="AD18" s="65">
        <v>1</v>
      </c>
      <c r="AE18" s="64">
        <v>1</v>
      </c>
      <c r="AF18" s="64">
        <v>2</v>
      </c>
      <c r="AG18" s="64">
        <v>3</v>
      </c>
      <c r="AH18" s="64">
        <v>3</v>
      </c>
      <c r="AI18" s="36">
        <f t="shared" si="1"/>
        <v>128.44454996153885</v>
      </c>
      <c r="AJ18" s="47">
        <f t="shared" si="2"/>
        <v>107.42993486176351</v>
      </c>
      <c r="AK18" s="48">
        <f t="shared" si="3"/>
        <v>91.063332099026582</v>
      </c>
      <c r="AL18" s="49">
        <f t="shared" si="4"/>
        <v>70.048716999251226</v>
      </c>
      <c r="AM18" s="35" t="str">
        <f t="shared" si="0"/>
        <v>HEA 400</v>
      </c>
    </row>
    <row r="19" spans="1:39">
      <c r="A19" s="40" t="s">
        <v>134</v>
      </c>
      <c r="B19" s="32">
        <f>IF(C19&lt;=2,Q19,P19)*IF(head!F$57="S235",235,IF(head!F$57="S275",275,IF(head!F$57="S355",355,IF(head!F$57="S420",420,460))))/1000000</f>
        <v>1178.4275696122345</v>
      </c>
      <c r="C19" s="57">
        <f>IF(head!$F$57="S235",Y19,IF(head!$F$57="S275",Z19,IF(head!$F$57="S355",AA19,IF(head!$F$57="S420",AB19,AC19))))</f>
        <v>1</v>
      </c>
      <c r="D19" s="53">
        <f>IF(E19&lt;=2,Q19,P19)*IF(head!F$57="S235",235,IF(head!F$57="S275",275,IF(head!F$57="S355",355,IF(head!F$57="S420",420,460))))/(head!$G$31*head!$G$32*1000000)</f>
        <v>1250.7947017654706</v>
      </c>
      <c r="E19" s="58">
        <f>IF(head!$F$57="S235",AD19,IF(head!$F$57="S275",AE19,IF(head!$F$57="S355",AF19,IF(head!$F$57="S420",AG19,AH19))))</f>
        <v>3</v>
      </c>
      <c r="F19" s="41">
        <v>390</v>
      </c>
      <c r="G19" s="41">
        <v>300</v>
      </c>
      <c r="H19" s="41">
        <v>11</v>
      </c>
      <c r="I19" s="41">
        <v>19</v>
      </c>
      <c r="J19" s="41">
        <v>27</v>
      </c>
      <c r="K19" s="42">
        <v>124.79756480093435</v>
      </c>
      <c r="L19" s="43">
        <v>127.18223164426432</v>
      </c>
      <c r="M19" s="43">
        <v>15897.77895553304</v>
      </c>
      <c r="N19" s="43">
        <v>1.9116460032938489</v>
      </c>
      <c r="O19" s="44">
        <v>450693960.47310156</v>
      </c>
      <c r="P19" s="43">
        <v>2311251.0793492389</v>
      </c>
      <c r="Q19" s="43">
        <v>2561799.0643744231</v>
      </c>
      <c r="R19" s="45">
        <v>168.37307444625358</v>
      </c>
      <c r="S19" s="43">
        <v>85638286.903094321</v>
      </c>
      <c r="T19" s="43">
        <v>570921.91268729547</v>
      </c>
      <c r="U19" s="43">
        <v>872863.81605482381</v>
      </c>
      <c r="V19" s="43">
        <v>73.394878938006741</v>
      </c>
      <c r="W19" s="44">
        <v>1914409.9234610801</v>
      </c>
      <c r="X19" s="46">
        <v>2893573895624</v>
      </c>
      <c r="Y19" s="64">
        <v>1</v>
      </c>
      <c r="Z19" s="64">
        <v>1</v>
      </c>
      <c r="AA19" s="64">
        <v>1</v>
      </c>
      <c r="AB19" s="64">
        <v>1</v>
      </c>
      <c r="AC19" s="64">
        <v>1</v>
      </c>
      <c r="AD19" s="65">
        <v>1</v>
      </c>
      <c r="AE19" s="64">
        <v>1</v>
      </c>
      <c r="AF19" s="64">
        <v>1</v>
      </c>
      <c r="AG19" s="64">
        <v>2</v>
      </c>
      <c r="AH19" s="64">
        <v>3</v>
      </c>
      <c r="AI19" s="36">
        <f t="shared" si="1"/>
        <v>120.24610536105878</v>
      </c>
      <c r="AJ19" s="47">
        <f t="shared" si="2"/>
        <v>101.37554483564725</v>
      </c>
      <c r="AK19" s="48">
        <f t="shared" si="3"/>
        <v>86.804578416893051</v>
      </c>
      <c r="AL19" s="49">
        <f t="shared" si="4"/>
        <v>67.934017891481531</v>
      </c>
      <c r="AM19" s="35" t="str">
        <f t="shared" si="0"/>
        <v>HEA 450</v>
      </c>
    </row>
    <row r="20" spans="1:39">
      <c r="A20" s="40" t="s">
        <v>135</v>
      </c>
      <c r="B20" s="32">
        <f>IF(C20&lt;=2,Q20,P20)*IF(head!F$57="S235",235,IF(head!F$57="S275",275,IF(head!F$57="S355",355,IF(head!F$57="S420",420,460))))/1000000</f>
        <v>1479.2990409617742</v>
      </c>
      <c r="C20" s="57">
        <f>IF(head!$F$57="S235",Y20,IF(head!$F$57="S275",Z20,IF(head!$F$57="S355",AA20,IF(head!$F$57="S420",AB20,AC20))))</f>
        <v>1</v>
      </c>
      <c r="D20" s="53">
        <f>IF(E20&lt;=2,Q20,P20)*IF(head!F$57="S235",235,IF(head!F$57="S275",275,IF(head!F$57="S355",355,IF(head!F$57="S420",420,460))))/(head!$G$31*head!$G$32*1000000)</f>
        <v>1740.3518128962048</v>
      </c>
      <c r="E20" s="58">
        <f>IF(head!$F$57="S235",AD20,IF(head!$F$57="S275",AE20,IF(head!$F$57="S355",AF20,IF(head!$F$57="S420",AG20,AH20))))</f>
        <v>2</v>
      </c>
      <c r="F20" s="41">
        <v>440</v>
      </c>
      <c r="G20" s="41">
        <v>300</v>
      </c>
      <c r="H20" s="41">
        <v>11.5</v>
      </c>
      <c r="I20" s="41">
        <v>21</v>
      </c>
      <c r="J20" s="41">
        <v>27</v>
      </c>
      <c r="K20" s="42">
        <v>139.75181480093437</v>
      </c>
      <c r="L20" s="43">
        <v>142.42223164426434</v>
      </c>
      <c r="M20" s="43">
        <v>17802.778955533042</v>
      </c>
      <c r="N20" s="43">
        <v>2.0106460032938491</v>
      </c>
      <c r="O20" s="44">
        <v>637216333.50180197</v>
      </c>
      <c r="P20" s="43">
        <v>2896437.8795536454</v>
      </c>
      <c r="Q20" s="43">
        <v>3215867.4803516828</v>
      </c>
      <c r="R20" s="45">
        <v>189.19059798560968</v>
      </c>
      <c r="S20" s="43">
        <v>94653333.609806463</v>
      </c>
      <c r="T20" s="43">
        <v>631022.22406537645</v>
      </c>
      <c r="U20" s="43">
        <v>965531.1357937071</v>
      </c>
      <c r="V20" s="43">
        <v>72.916204998335516</v>
      </c>
      <c r="W20" s="44">
        <v>2491793.5981023801</v>
      </c>
      <c r="X20" s="46">
        <v>4087093917972.0601</v>
      </c>
      <c r="Y20" s="64">
        <v>1</v>
      </c>
      <c r="Z20" s="64">
        <v>1</v>
      </c>
      <c r="AA20" s="64">
        <v>1</v>
      </c>
      <c r="AB20" s="64">
        <v>1</v>
      </c>
      <c r="AC20" s="64">
        <v>1</v>
      </c>
      <c r="AD20" s="65">
        <v>1</v>
      </c>
      <c r="AE20" s="64">
        <v>1</v>
      </c>
      <c r="AF20" s="64">
        <v>1</v>
      </c>
      <c r="AG20" s="64">
        <v>1</v>
      </c>
      <c r="AH20" s="64">
        <v>2</v>
      </c>
      <c r="AI20" s="36">
        <f t="shared" si="1"/>
        <v>112.94000831645148</v>
      </c>
      <c r="AJ20" s="47">
        <f t="shared" si="2"/>
        <v>96.088706575901526</v>
      </c>
      <c r="AK20" s="48">
        <f t="shared" si="3"/>
        <v>83.133088586713086</v>
      </c>
      <c r="AL20" s="49">
        <f t="shared" si="4"/>
        <v>66.281786846163143</v>
      </c>
      <c r="AM20" s="35" t="str">
        <f t="shared" si="0"/>
        <v>HEA 500</v>
      </c>
    </row>
    <row r="21" spans="1:39">
      <c r="A21" s="40" t="s">
        <v>136</v>
      </c>
      <c r="B21" s="32">
        <f>IF(C21&lt;=2,Q21,P21)*IF(head!F$57="S235",235,IF(head!F$57="S275",275,IF(head!F$57="S355",355,IF(head!F$57="S420",420,460))))/1000000</f>
        <v>1816.4741723113136</v>
      </c>
      <c r="C21" s="57">
        <f>IF(head!$F$57="S235",Y21,IF(head!$F$57="S275",Z21,IF(head!$F$57="S355",AA21,IF(head!$F$57="S420",AB21,AC21))))</f>
        <v>1</v>
      </c>
      <c r="D21" s="53">
        <f>IF(E21&lt;=2,Q21,P21)*IF(head!F$57="S235",235,IF(head!F$57="S275",275,IF(head!F$57="S355",355,IF(head!F$57="S420",420,460))))/(head!$G$31*head!$G$32*1000000)</f>
        <v>2137.0284380133103</v>
      </c>
      <c r="E21" s="58">
        <f>IF(head!$F$57="S235",AD21,IF(head!$F$57="S275",AE21,IF(head!$F$57="S355",AF21,IF(head!$F$57="S420",AG21,AH21))))</f>
        <v>1</v>
      </c>
      <c r="F21" s="41">
        <v>490</v>
      </c>
      <c r="G21" s="41">
        <v>300</v>
      </c>
      <c r="H21" s="41">
        <v>12</v>
      </c>
      <c r="I21" s="41">
        <v>23</v>
      </c>
      <c r="J21" s="41">
        <v>27</v>
      </c>
      <c r="K21" s="42">
        <v>155.06716480093436</v>
      </c>
      <c r="L21" s="43">
        <v>158.03023164426435</v>
      </c>
      <c r="M21" s="43">
        <v>19753.778955533042</v>
      </c>
      <c r="N21" s="43">
        <v>2.1096460032938489</v>
      </c>
      <c r="O21" s="44">
        <v>869747803.99878979</v>
      </c>
      <c r="P21" s="43">
        <v>3549991.0367297544</v>
      </c>
      <c r="Q21" s="43">
        <v>3948856.8963289429</v>
      </c>
      <c r="R21" s="45">
        <v>209.83193017715715</v>
      </c>
      <c r="S21" s="43">
        <v>103670552.49722138</v>
      </c>
      <c r="T21" s="43">
        <v>691137.01664814248</v>
      </c>
      <c r="U21" s="43">
        <v>1058512.7055325904</v>
      </c>
      <c r="V21" s="43">
        <v>72.444031655046075</v>
      </c>
      <c r="W21" s="44">
        <v>3177384.2971851998</v>
      </c>
      <c r="X21" s="46">
        <v>5569125928531.21</v>
      </c>
      <c r="Y21" s="64">
        <v>1</v>
      </c>
      <c r="Z21" s="64">
        <v>1</v>
      </c>
      <c r="AA21" s="64">
        <v>1</v>
      </c>
      <c r="AB21" s="64">
        <v>1</v>
      </c>
      <c r="AC21" s="64">
        <v>1</v>
      </c>
      <c r="AD21" s="65">
        <v>1</v>
      </c>
      <c r="AE21" s="64">
        <v>1</v>
      </c>
      <c r="AF21" s="64">
        <v>1</v>
      </c>
      <c r="AG21" s="64">
        <v>1</v>
      </c>
      <c r="AH21" s="64">
        <v>1</v>
      </c>
      <c r="AI21" s="36">
        <f t="shared" si="1"/>
        <v>106.79708465113386</v>
      </c>
      <c r="AJ21" s="47">
        <f t="shared" si="2"/>
        <v>91.610117100503757</v>
      </c>
      <c r="AK21" s="48">
        <f t="shared" si="3"/>
        <v>79.984695766651853</v>
      </c>
      <c r="AL21" s="49">
        <f t="shared" si="4"/>
        <v>64.797728216021738</v>
      </c>
      <c r="AM21" s="35" t="str">
        <f t="shared" si="0"/>
        <v>HEA 550</v>
      </c>
    </row>
    <row r="22" spans="1:39">
      <c r="A22" s="40" t="s">
        <v>137</v>
      </c>
      <c r="B22" s="32">
        <f>IF(C22&lt;=2,Q22,P22)*IF(head!F$57="S235",235,IF(head!F$57="S275",275,IF(head!F$57="S355",355,IF(head!F$57="S420",420,460))))/1000000</f>
        <v>2126.0360919803989</v>
      </c>
      <c r="C22" s="57">
        <f>IF(head!$F$57="S235",Y22,IF(head!$F$57="S275",Z22,IF(head!$F$57="S355",AA22,IF(head!$F$57="S420",AB22,AC22))))</f>
        <v>1</v>
      </c>
      <c r="D22" s="53">
        <f>IF(E22&lt;=2,Q22,P22)*IF(head!F$57="S235",235,IF(head!F$57="S275",275,IF(head!F$57="S355",355,IF(head!F$57="S420",420,460))))/(head!$G$31*head!$G$32*1000000)</f>
        <v>2501.2189317416455</v>
      </c>
      <c r="E22" s="58">
        <f>IF(head!$F$57="S235",AD22,IF(head!$F$57="S275",AE22,IF(head!$F$57="S355",AF22,IF(head!$F$57="S420",AG22,AH22))))</f>
        <v>1</v>
      </c>
      <c r="F22" s="41">
        <v>540</v>
      </c>
      <c r="G22" s="41">
        <v>300</v>
      </c>
      <c r="H22" s="41">
        <v>12.5</v>
      </c>
      <c r="I22" s="41">
        <v>24</v>
      </c>
      <c r="J22" s="41">
        <v>27</v>
      </c>
      <c r="K22" s="42">
        <v>166.22986480093437</v>
      </c>
      <c r="L22" s="43">
        <v>169.40623164426435</v>
      </c>
      <c r="M22" s="43">
        <v>21175.778955533042</v>
      </c>
      <c r="N22" s="43">
        <v>2.2086460032938491</v>
      </c>
      <c r="O22" s="44">
        <v>1119322215.7009661</v>
      </c>
      <c r="P22" s="43">
        <v>4145637.8359295041</v>
      </c>
      <c r="Q22" s="43">
        <v>4621817.5912617361</v>
      </c>
      <c r="R22" s="45">
        <v>229.91000150746095</v>
      </c>
      <c r="S22" s="43">
        <v>108190498.08617242</v>
      </c>
      <c r="T22" s="43">
        <v>721269.9872411493</v>
      </c>
      <c r="U22" s="43">
        <v>1106903.9002714737</v>
      </c>
      <c r="V22" s="43">
        <v>71.478406602428493</v>
      </c>
      <c r="W22" s="44">
        <v>3606733.48785502</v>
      </c>
      <c r="X22" s="46">
        <v>7102962710866.6904</v>
      </c>
      <c r="Y22" s="64">
        <v>1</v>
      </c>
      <c r="Z22" s="64">
        <v>1</v>
      </c>
      <c r="AA22" s="64">
        <v>1</v>
      </c>
      <c r="AB22" s="64">
        <v>1</v>
      </c>
      <c r="AC22" s="64">
        <v>1</v>
      </c>
      <c r="AD22" s="65">
        <v>1</v>
      </c>
      <c r="AE22" s="64">
        <v>1</v>
      </c>
      <c r="AF22" s="64">
        <v>1</v>
      </c>
      <c r="AG22" s="64">
        <v>1</v>
      </c>
      <c r="AH22" s="64">
        <v>1</v>
      </c>
      <c r="AI22" s="36">
        <f t="shared" si="1"/>
        <v>104.30057887985035</v>
      </c>
      <c r="AJ22" s="47">
        <f t="shared" si="2"/>
        <v>90.133449508601743</v>
      </c>
      <c r="AK22" s="48">
        <f t="shared" si="3"/>
        <v>79.335924478992112</v>
      </c>
      <c r="AL22" s="49">
        <f t="shared" si="4"/>
        <v>65.16879510774352</v>
      </c>
      <c r="AM22" s="35" t="str">
        <f t="shared" si="0"/>
        <v>HEA 600</v>
      </c>
    </row>
    <row r="23" spans="1:39">
      <c r="A23" s="40" t="s">
        <v>138</v>
      </c>
      <c r="B23" s="32">
        <f>IF(C23&lt;=2,Q23,P23)*IF(head!F$57="S235",235,IF(head!F$57="S275",275,IF(head!F$57="S355",355,IF(head!F$57="S420",420,460))))/1000000</f>
        <v>2461.1776916494837</v>
      </c>
      <c r="C23" s="57">
        <f>IF(head!$F$57="S235",Y23,IF(head!$F$57="S275",Z23,IF(head!$F$57="S355",AA23,IF(head!$F$57="S420",AB23,AC23))))</f>
        <v>1</v>
      </c>
      <c r="D23" s="53">
        <f>IF(E23&lt;=2,Q23,P23)*IF(head!F$57="S235",235,IF(head!F$57="S275",275,IF(head!F$57="S355",355,IF(head!F$57="S420",420,460))))/(head!$G$31*head!$G$32*1000000)</f>
        <v>2895.5031666464515</v>
      </c>
      <c r="E23" s="58">
        <f>IF(head!$F$57="S235",AD23,IF(head!$F$57="S275",AE23,IF(head!$F$57="S355",AF23,IF(head!$F$57="S420",AG23,AH23))))</f>
        <v>1</v>
      </c>
      <c r="F23" s="41">
        <v>590</v>
      </c>
      <c r="G23" s="41">
        <v>300</v>
      </c>
      <c r="H23" s="41">
        <v>13</v>
      </c>
      <c r="I23" s="41">
        <v>25</v>
      </c>
      <c r="J23" s="41">
        <v>27</v>
      </c>
      <c r="K23" s="42">
        <v>177.76936480093437</v>
      </c>
      <c r="L23" s="43">
        <v>181.16623164426434</v>
      </c>
      <c r="M23" s="43">
        <v>22645.778955533042</v>
      </c>
      <c r="N23" s="43">
        <v>2.3076460032938488</v>
      </c>
      <c r="O23" s="44">
        <v>1412081108.7599163</v>
      </c>
      <c r="P23" s="43">
        <v>4786715.6229149709</v>
      </c>
      <c r="Q23" s="43">
        <v>5350386.2861945294</v>
      </c>
      <c r="R23" s="45">
        <v>249.71014655288005</v>
      </c>
      <c r="S23" s="43">
        <v>112713166.64749286</v>
      </c>
      <c r="T23" s="43">
        <v>751421.1109832857</v>
      </c>
      <c r="U23" s="43">
        <v>1155656.5950103567</v>
      </c>
      <c r="V23" s="43">
        <v>70.549459969814706</v>
      </c>
      <c r="W23" s="44">
        <v>4075886.0673159198</v>
      </c>
      <c r="X23" s="46">
        <v>8879460111642.8008</v>
      </c>
      <c r="Y23" s="64">
        <v>1</v>
      </c>
      <c r="Z23" s="64">
        <v>1</v>
      </c>
      <c r="AA23" s="64">
        <v>1</v>
      </c>
      <c r="AB23" s="64">
        <v>1</v>
      </c>
      <c r="AC23" s="64">
        <v>1</v>
      </c>
      <c r="AD23" s="65">
        <v>1</v>
      </c>
      <c r="AE23" s="64">
        <v>1</v>
      </c>
      <c r="AF23" s="64">
        <v>1</v>
      </c>
      <c r="AG23" s="64">
        <v>1</v>
      </c>
      <c r="AH23" s="64">
        <v>1</v>
      </c>
      <c r="AI23" s="36">
        <f t="shared" si="1"/>
        <v>101.90181613205324</v>
      </c>
      <c r="AJ23" s="47">
        <f t="shared" si="2"/>
        <v>88.654314220589924</v>
      </c>
      <c r="AK23" s="48">
        <f t="shared" si="3"/>
        <v>78.601844674682411</v>
      </c>
      <c r="AL23" s="49">
        <f t="shared" si="4"/>
        <v>65.354342763219094</v>
      </c>
      <c r="AM23" s="35" t="str">
        <f t="shared" si="0"/>
        <v>HEA 650</v>
      </c>
    </row>
    <row r="24" spans="1:39">
      <c r="A24" s="40" t="s">
        <v>139</v>
      </c>
      <c r="B24" s="32">
        <f>IF(C24&lt;=2,Q24,P24)*IF(head!F$57="S235",235,IF(head!F$57="S275",275,IF(head!F$57="S355",355,IF(head!F$57="S420",420,460))))/1000000</f>
        <v>2822.6938513185682</v>
      </c>
      <c r="C24" s="57">
        <f>IF(head!$F$57="S235",Y24,IF(head!$F$57="S275",Z24,IF(head!$F$57="S355",AA24,IF(head!$F$57="S420",AB24,AC24))))</f>
        <v>1</v>
      </c>
      <c r="D24" s="53">
        <f>IF(E24&lt;=2,Q24,P24)*IF(head!F$57="S235",235,IF(head!F$57="S275",275,IF(head!F$57="S355",355,IF(head!F$57="S420",420,460))))/(head!$G$31*head!$G$32*1000000)</f>
        <v>3320.8162956689039</v>
      </c>
      <c r="E24" s="58">
        <f>IF(head!$F$57="S235",AD24,IF(head!$F$57="S275",AE24,IF(head!$F$57="S355",AF24,IF(head!$F$57="S420",AG24,AH24))))</f>
        <v>1</v>
      </c>
      <c r="F24" s="41">
        <v>640</v>
      </c>
      <c r="G24" s="41">
        <v>300</v>
      </c>
      <c r="H24" s="41">
        <v>13.5</v>
      </c>
      <c r="I24" s="41">
        <v>26</v>
      </c>
      <c r="J24" s="41">
        <v>27</v>
      </c>
      <c r="K24" s="42">
        <v>189.68566480093438</v>
      </c>
      <c r="L24" s="43">
        <v>193.31023164426435</v>
      </c>
      <c r="M24" s="43">
        <v>24163.778955533042</v>
      </c>
      <c r="N24" s="43">
        <v>2.406646003293849</v>
      </c>
      <c r="O24" s="44">
        <v>1751782355.1756408</v>
      </c>
      <c r="P24" s="43">
        <v>5474319.8599238778</v>
      </c>
      <c r="Q24" s="43">
        <v>6136290.9811273217</v>
      </c>
      <c r="R24" s="45">
        <v>269.25119946203426</v>
      </c>
      <c r="S24" s="43">
        <v>117238819.93118276</v>
      </c>
      <c r="T24" s="43">
        <v>781592.13287455169</v>
      </c>
      <c r="U24" s="43">
        <v>1204788.78974924</v>
      </c>
      <c r="V24" s="43">
        <v>69.655159666469075</v>
      </c>
      <c r="W24" s="44">
        <v>4586962.4859096296</v>
      </c>
      <c r="X24" s="46">
        <v>10914853851174.199</v>
      </c>
      <c r="Y24" s="64">
        <v>1</v>
      </c>
      <c r="Z24" s="64">
        <v>1</v>
      </c>
      <c r="AA24" s="64">
        <v>1</v>
      </c>
      <c r="AB24" s="64">
        <v>1</v>
      </c>
      <c r="AC24" s="64">
        <v>1</v>
      </c>
      <c r="AD24" s="65">
        <v>1</v>
      </c>
      <c r="AE24" s="64">
        <v>1</v>
      </c>
      <c r="AF24" s="64">
        <v>1</v>
      </c>
      <c r="AG24" s="64">
        <v>1</v>
      </c>
      <c r="AH24" s="64">
        <v>1</v>
      </c>
      <c r="AI24" s="36">
        <f t="shared" si="1"/>
        <v>99.597252885098627</v>
      </c>
      <c r="AJ24" s="47">
        <f t="shared" si="2"/>
        <v>87.181976261683502</v>
      </c>
      <c r="AK24" s="48">
        <f t="shared" si="3"/>
        <v>77.802400173401523</v>
      </c>
      <c r="AL24" s="49">
        <f t="shared" si="4"/>
        <v>65.387123549986384</v>
      </c>
      <c r="AM24" s="35" t="str">
        <f t="shared" si="0"/>
        <v>HEA 700</v>
      </c>
    </row>
    <row r="25" spans="1:39">
      <c r="A25" s="40" t="s">
        <v>140</v>
      </c>
      <c r="B25" s="32">
        <f>IF(C25&lt;=2,Q25,P25)*IF(head!F$57="S235",235,IF(head!F$57="S275",275,IF(head!F$57="S355",355,IF(head!F$57="S420",420,460))))/1000000</f>
        <v>3234.6379709876528</v>
      </c>
      <c r="C25" s="57">
        <f>IF(head!$F$57="S235",Y25,IF(head!$F$57="S275",Z25,IF(head!$F$57="S355",AA25,IF(head!$F$57="S420",AB25,AC25))))</f>
        <v>1</v>
      </c>
      <c r="D25" s="53">
        <f>IF(E25&lt;=2,Q25,P25)*IF(head!F$57="S235",235,IF(head!F$57="S275",275,IF(head!F$57="S355",355,IF(head!F$57="S420",420,460))))/(head!$G$31*head!$G$32*1000000)</f>
        <v>3805.456436456062</v>
      </c>
      <c r="E25" s="58">
        <f>IF(head!$F$57="S235",AD25,IF(head!$F$57="S275",AE25,IF(head!$F$57="S355",AF25,IF(head!$F$57="S420",AG25,AH25))))</f>
        <v>1</v>
      </c>
      <c r="F25" s="41">
        <v>690</v>
      </c>
      <c r="G25" s="41">
        <v>300</v>
      </c>
      <c r="H25" s="41">
        <v>14.5</v>
      </c>
      <c r="I25" s="41">
        <v>27</v>
      </c>
      <c r="J25" s="41">
        <v>27</v>
      </c>
      <c r="K25" s="42">
        <v>204.47506480093438</v>
      </c>
      <c r="L25" s="43">
        <v>208.38223164426435</v>
      </c>
      <c r="M25" s="43">
        <v>26047.778955533042</v>
      </c>
      <c r="N25" s="43">
        <v>2.5046460032938489</v>
      </c>
      <c r="O25" s="44">
        <v>2153013562.9481392</v>
      </c>
      <c r="P25" s="43">
        <v>6240619.0230380846</v>
      </c>
      <c r="Q25" s="43">
        <v>7031821.676060115</v>
      </c>
      <c r="R25" s="45">
        <v>287.50012242749381</v>
      </c>
      <c r="S25" s="43">
        <v>121787993.16567087</v>
      </c>
      <c r="T25" s="43">
        <v>811919.95443780581</v>
      </c>
      <c r="U25" s="43">
        <v>1256740.6792270066</v>
      </c>
      <c r="V25" s="43">
        <v>68.378077829573769</v>
      </c>
      <c r="W25" s="44">
        <v>5228965.8848557603</v>
      </c>
      <c r="X25" s="46">
        <v>13222994681546.9</v>
      </c>
      <c r="Y25" s="64">
        <v>1</v>
      </c>
      <c r="Z25" s="64">
        <v>1</v>
      </c>
      <c r="AA25" s="64">
        <v>1</v>
      </c>
      <c r="AB25" s="64">
        <v>1</v>
      </c>
      <c r="AC25" s="64">
        <v>1</v>
      </c>
      <c r="AD25" s="65">
        <v>1</v>
      </c>
      <c r="AE25" s="64">
        <v>1</v>
      </c>
      <c r="AF25" s="64">
        <v>1</v>
      </c>
      <c r="AG25" s="64">
        <v>1</v>
      </c>
      <c r="AH25" s="64">
        <v>1</v>
      </c>
      <c r="AI25" s="36">
        <f t="shared" si="1"/>
        <v>96.155837607866928</v>
      </c>
      <c r="AJ25" s="47">
        <f t="shared" si="2"/>
        <v>84.638540854384061</v>
      </c>
      <c r="AK25" s="48">
        <f t="shared" si="3"/>
        <v>76.014158572986901</v>
      </c>
      <c r="AL25" s="49">
        <f t="shared" si="4"/>
        <v>64.496861819504048</v>
      </c>
      <c r="AM25" s="35" t="str">
        <f t="shared" si="0"/>
        <v>HEA 800</v>
      </c>
    </row>
    <row r="26" spans="1:39">
      <c r="A26" s="40" t="s">
        <v>141</v>
      </c>
      <c r="B26" s="32">
        <f>IF(C26&lt;=2,Q26,P26)*IF(head!F$57="S235",235,IF(head!F$57="S275",275,IF(head!F$57="S355",355,IF(head!F$57="S420",420,460))))/1000000</f>
        <v>4001.7653761564593</v>
      </c>
      <c r="C26" s="57">
        <f>IF(head!$F$57="S235",Y26,IF(head!$F$57="S275",Z26,IF(head!$F$57="S355",AA26,IF(head!$F$57="S420",AB26,AC26))))</f>
        <v>1</v>
      </c>
      <c r="D26" s="53">
        <f>IF(E26&lt;=2,Q26,P26)*IF(head!F$57="S235",235,IF(head!F$57="S275",275,IF(head!F$57="S355",355,IF(head!F$57="S420",420,460))))/(head!$G$31*head!$G$32*1000000)</f>
        <v>4707.959266066423</v>
      </c>
      <c r="E26" s="58">
        <f>IF(head!$F$57="S235",AD26,IF(head!$F$57="S275",AE26,IF(head!$F$57="S355",AF26,IF(head!$F$57="S420",AG26,AH26))))</f>
        <v>2</v>
      </c>
      <c r="F26" s="41">
        <v>790</v>
      </c>
      <c r="G26" s="41">
        <v>300</v>
      </c>
      <c r="H26" s="41">
        <v>15</v>
      </c>
      <c r="I26" s="41">
        <v>28</v>
      </c>
      <c r="J26" s="41">
        <v>30</v>
      </c>
      <c r="K26" s="42">
        <v>224.37314790238813</v>
      </c>
      <c r="L26" s="43">
        <v>228.6605328941535</v>
      </c>
      <c r="M26" s="43">
        <v>28582.566611769187</v>
      </c>
      <c r="N26" s="43">
        <v>2.6984955592153872</v>
      </c>
      <c r="O26" s="44">
        <v>3034426475.0196629</v>
      </c>
      <c r="P26" s="43">
        <v>7682092.3418219313</v>
      </c>
      <c r="Q26" s="43">
        <v>8699489.9481662158</v>
      </c>
      <c r="R26" s="45">
        <v>325.8274708226823</v>
      </c>
      <c r="S26" s="43">
        <v>126386686.78544849</v>
      </c>
      <c r="T26" s="43">
        <v>842577.91190298996</v>
      </c>
      <c r="U26" s="43">
        <v>1312258.7479413445</v>
      </c>
      <c r="V26" s="43">
        <v>66.496693729441802</v>
      </c>
      <c r="W26" s="44">
        <v>6097143.08349868</v>
      </c>
      <c r="X26" s="46">
        <v>18112979965893.801</v>
      </c>
      <c r="Y26" s="64">
        <v>1</v>
      </c>
      <c r="Z26" s="64">
        <v>1</v>
      </c>
      <c r="AA26" s="64">
        <v>1</v>
      </c>
      <c r="AB26" s="64">
        <v>1</v>
      </c>
      <c r="AC26" s="64">
        <v>1</v>
      </c>
      <c r="AD26" s="65">
        <v>1</v>
      </c>
      <c r="AE26" s="64">
        <v>1</v>
      </c>
      <c r="AF26" s="64">
        <v>1</v>
      </c>
      <c r="AG26" s="64">
        <v>1</v>
      </c>
      <c r="AH26" s="64">
        <v>2</v>
      </c>
      <c r="AI26" s="36">
        <f t="shared" si="1"/>
        <v>94.410540378282604</v>
      </c>
      <c r="AJ26" s="47">
        <f t="shared" si="2"/>
        <v>83.914632013060029</v>
      </c>
      <c r="AK26" s="48">
        <f t="shared" si="3"/>
        <v>76.270267453950794</v>
      </c>
      <c r="AL26" s="49">
        <f t="shared" si="4"/>
        <v>65.774359088728204</v>
      </c>
      <c r="AM26" s="35" t="str">
        <f t="shared" si="0"/>
        <v>HEA 900</v>
      </c>
    </row>
    <row r="27" spans="1:39">
      <c r="A27" s="40" t="s">
        <v>142</v>
      </c>
      <c r="B27" s="32">
        <f>IF(C27&lt;=2,Q27,P27)*IF(head!F$57="S235",235,IF(head!F$57="S275",275,IF(head!F$57="S355",355,IF(head!F$57="S420",420,460))))/1000000</f>
        <v>4973.0775469443224</v>
      </c>
      <c r="C27" s="57">
        <f>IF(head!$F$57="S235",Y27,IF(head!$F$57="S275",Z27,IF(head!$F$57="S355",AA27,IF(head!$F$57="S420",AB27,AC27))))</f>
        <v>1</v>
      </c>
      <c r="D27" s="53">
        <f>IF(E27&lt;=2,Q27,P27)*IF(head!F$57="S235",235,IF(head!F$57="S275",275,IF(head!F$57="S355",355,IF(head!F$57="S420",420,460))))/(head!$G$31*head!$G$32*1000000)</f>
        <v>5850.6794669933206</v>
      </c>
      <c r="E27" s="58">
        <f>IF(head!$F$57="S235",AD27,IF(head!$F$57="S275",AE27,IF(head!$F$57="S355",AF27,IF(head!$F$57="S420",AG27,AH27))))</f>
        <v>2</v>
      </c>
      <c r="F27" s="41">
        <v>890</v>
      </c>
      <c r="G27" s="41">
        <v>300</v>
      </c>
      <c r="H27" s="41">
        <v>16</v>
      </c>
      <c r="I27" s="41">
        <v>30</v>
      </c>
      <c r="J27" s="41">
        <v>30</v>
      </c>
      <c r="K27" s="42">
        <v>251.61264790238812</v>
      </c>
      <c r="L27" s="43">
        <v>256.4205328941535</v>
      </c>
      <c r="M27" s="43">
        <v>32052.566611769187</v>
      </c>
      <c r="N27" s="43">
        <v>2.8964955592153876</v>
      </c>
      <c r="O27" s="44">
        <v>4220750180.1838021</v>
      </c>
      <c r="P27" s="43">
        <v>9484831.8655815776</v>
      </c>
      <c r="Q27" s="43">
        <v>10811038.145531137</v>
      </c>
      <c r="R27" s="45">
        <v>362.88032190735913</v>
      </c>
      <c r="S27" s="43">
        <v>135474720.34170943</v>
      </c>
      <c r="T27" s="43">
        <v>903164.80227806291</v>
      </c>
      <c r="U27" s="43">
        <v>1414477.5312472291</v>
      </c>
      <c r="V27" s="43">
        <v>65.012628604712319</v>
      </c>
      <c r="W27" s="44">
        <v>7511140.9911836702</v>
      </c>
      <c r="X27" s="46">
        <v>24747928513799.199</v>
      </c>
      <c r="Y27" s="64">
        <v>1</v>
      </c>
      <c r="Z27" s="64">
        <v>1</v>
      </c>
      <c r="AA27" s="64">
        <v>1</v>
      </c>
      <c r="AB27" s="64">
        <v>1</v>
      </c>
      <c r="AC27" s="64">
        <v>1</v>
      </c>
      <c r="AD27" s="65">
        <v>1</v>
      </c>
      <c r="AE27" s="64">
        <v>1</v>
      </c>
      <c r="AF27" s="64">
        <v>1</v>
      </c>
      <c r="AG27" s="64">
        <v>2</v>
      </c>
      <c r="AH27" s="64">
        <v>2</v>
      </c>
      <c r="AI27" s="36">
        <f t="shared" si="1"/>
        <v>90.367039691350058</v>
      </c>
      <c r="AJ27" s="47">
        <f t="shared" si="2"/>
        <v>81.007414809084153</v>
      </c>
      <c r="AK27" s="48">
        <f t="shared" si="3"/>
        <v>74.25302406597612</v>
      </c>
      <c r="AL27" s="49">
        <f t="shared" si="4"/>
        <v>64.893399183710216</v>
      </c>
      <c r="AM27" s="35" t="str">
        <f t="shared" si="0"/>
        <v>HEA 1000</v>
      </c>
    </row>
    <row r="28" spans="1:39">
      <c r="A28" s="40" t="s">
        <v>85</v>
      </c>
      <c r="B28" s="32">
        <f>IF(C28&lt;=2,Q28,P28)*IF(head!F$57="S235",235,IF(head!F$57="S275",275,IF(head!F$57="S355",355,IF(head!F$57="S420",420,460))))/1000000</f>
        <v>5899.213838373601</v>
      </c>
      <c r="C28" s="57">
        <f>IF(head!$F$57="S235",Y28,IF(head!$F$57="S275",Z28,IF(head!$F$57="S355",AA28,IF(head!$F$57="S420",AB28,AC28))))</f>
        <v>2</v>
      </c>
      <c r="D28" s="53">
        <f>IF(E28&lt;=2,Q28,P28)*IF(head!F$57="S235",235,IF(head!F$57="S275",275,IF(head!F$57="S355",355,IF(head!F$57="S420",420,460))))/(head!$G$31*head!$G$32*1000000)</f>
        <v>6055.122256395628</v>
      </c>
      <c r="E28" s="58">
        <f>IF(head!$F$57="S235",AD28,IF(head!$F$57="S275",AE28,IF(head!$F$57="S355",AF28,IF(head!$F$57="S420",AG28,AH28))))</f>
        <v>3</v>
      </c>
      <c r="F28" s="41">
        <v>990</v>
      </c>
      <c r="G28" s="41">
        <v>300</v>
      </c>
      <c r="H28" s="41">
        <v>16.5</v>
      </c>
      <c r="I28" s="41">
        <v>31</v>
      </c>
      <c r="J28" s="41">
        <v>30</v>
      </c>
      <c r="K28" s="42">
        <v>272.27384790238807</v>
      </c>
      <c r="L28" s="43">
        <v>277.47653289415348</v>
      </c>
      <c r="M28" s="43">
        <v>34684.566611769187</v>
      </c>
      <c r="N28" s="43">
        <v>3.0954955592153874</v>
      </c>
      <c r="O28" s="44">
        <v>5538462368.2140446</v>
      </c>
      <c r="P28" s="43">
        <v>11188812.865078878</v>
      </c>
      <c r="Q28" s="43">
        <v>12824377.909507828</v>
      </c>
      <c r="R28" s="45">
        <v>399.60090989080913</v>
      </c>
      <c r="S28" s="43">
        <v>140044531.72607961</v>
      </c>
      <c r="T28" s="43">
        <v>933630.21150719747</v>
      </c>
      <c r="U28" s="43">
        <v>1469712.6729001715</v>
      </c>
      <c r="V28" s="43">
        <v>63.542594241996589</v>
      </c>
      <c r="W28" s="44">
        <v>8374378.98411394</v>
      </c>
      <c r="X28" s="46">
        <v>31833196212127.801</v>
      </c>
      <c r="Y28" s="64">
        <v>1</v>
      </c>
      <c r="Z28" s="64">
        <v>1</v>
      </c>
      <c r="AA28" s="64">
        <v>1</v>
      </c>
      <c r="AB28" s="64">
        <v>1</v>
      </c>
      <c r="AC28" s="64">
        <v>2</v>
      </c>
      <c r="AD28" s="65">
        <v>1</v>
      </c>
      <c r="AE28" s="64">
        <v>1</v>
      </c>
      <c r="AF28" s="64">
        <v>2</v>
      </c>
      <c r="AG28" s="64">
        <v>2</v>
      </c>
      <c r="AH28" s="64">
        <v>3</v>
      </c>
      <c r="AI28" s="36">
        <f t="shared" si="1"/>
        <v>89.247058896939535</v>
      </c>
      <c r="AJ28" s="47">
        <f t="shared" si="2"/>
        <v>80.597678803540774</v>
      </c>
      <c r="AK28" s="48">
        <f t="shared" si="3"/>
        <v>74.384668803229417</v>
      </c>
      <c r="AL28" s="49">
        <f t="shared" si="4"/>
        <v>65.735288709830641</v>
      </c>
      <c r="AM28" s="35" t="s">
        <v>49</v>
      </c>
    </row>
    <row r="29" spans="1:39" s="104" customFormat="1">
      <c r="A29" s="86"/>
      <c r="B29" s="87">
        <v>0</v>
      </c>
      <c r="C29" s="88"/>
      <c r="D29" s="89"/>
      <c r="E29" s="90"/>
      <c r="F29" s="91"/>
      <c r="G29" s="91"/>
      <c r="H29" s="91"/>
      <c r="I29" s="91"/>
      <c r="J29" s="91"/>
      <c r="K29" s="92"/>
      <c r="L29" s="93"/>
      <c r="M29" s="93"/>
      <c r="N29" s="93"/>
      <c r="O29" s="94"/>
      <c r="P29" s="93"/>
      <c r="Q29" s="93"/>
      <c r="R29" s="95"/>
      <c r="S29" s="93"/>
      <c r="T29" s="93"/>
      <c r="U29" s="93"/>
      <c r="V29" s="93"/>
      <c r="W29" s="94"/>
      <c r="X29" s="96"/>
      <c r="Y29" s="97"/>
      <c r="Z29" s="97"/>
      <c r="AA29" s="97"/>
      <c r="AB29" s="97"/>
      <c r="AC29" s="97"/>
      <c r="AD29" s="98"/>
      <c r="AE29" s="97"/>
      <c r="AF29" s="97"/>
      <c r="AG29" s="97"/>
      <c r="AH29" s="97"/>
      <c r="AI29" s="99"/>
      <c r="AJ29" s="100"/>
      <c r="AK29" s="101"/>
      <c r="AL29" s="102"/>
      <c r="AM29" s="103" t="str">
        <f t="shared" si="0"/>
        <v>HEAA 100</v>
      </c>
    </row>
    <row r="30" spans="1:39" s="104" customFormat="1">
      <c r="A30" s="86" t="s">
        <v>208</v>
      </c>
      <c r="B30" s="87">
        <f>IF(C30&lt;=2,Q30,P30)*IF(head!F$57="S235",235,IF(head!F$57="S275",275,IF(head!F$57="S355",355,IF(head!F$57="S420",420,460))))/1000000</f>
        <v>26.844725273533939</v>
      </c>
      <c r="C30" s="88">
        <f>IF(head!$F$57="S235",Y30,IF(head!$F$57="S275",Z30,IF(head!$F$57="S355",AA30,IF(head!$F$57="S420",AB30,AC30))))</f>
        <v>2</v>
      </c>
      <c r="D30" s="89">
        <f>IF(E30&lt;=2,Q30,P30)*IF(head!F$57="S235",235,IF(head!F$57="S275",275,IF(head!F$57="S355",355,IF(head!F$57="S420",420,460))))/(head!$G$31*head!$G$32*1000000)</f>
        <v>28.130191255854186</v>
      </c>
      <c r="E30" s="90">
        <f>IF(head!$F$57="S235",AD30,IF(head!$F$57="S275",AE30,IF(head!$F$57="S355",AF30,IF(head!$F$57="S420",AG30,AH30))))</f>
        <v>3</v>
      </c>
      <c r="F30" s="91">
        <v>91</v>
      </c>
      <c r="G30" s="91">
        <v>100</v>
      </c>
      <c r="H30" s="91">
        <v>4.2</v>
      </c>
      <c r="I30" s="91">
        <v>5.5</v>
      </c>
      <c r="J30" s="91">
        <v>12</v>
      </c>
      <c r="K30" s="92">
        <v>12.242943664382098</v>
      </c>
      <c r="L30" s="93">
        <v>12.476885263064558</v>
      </c>
      <c r="M30" s="93">
        <v>1559.6106578830697</v>
      </c>
      <c r="N30" s="93">
        <v>0.55299822368615503</v>
      </c>
      <c r="O30" s="94">
        <v>2365076.4061307837</v>
      </c>
      <c r="P30" s="93">
        <v>51979.701233643602</v>
      </c>
      <c r="Q30" s="93">
        <v>58358.098420725961</v>
      </c>
      <c r="R30" s="95">
        <v>38.941662690098383</v>
      </c>
      <c r="S30" s="93">
        <v>920611.20524419029</v>
      </c>
      <c r="T30" s="93">
        <v>18412.224104883804</v>
      </c>
      <c r="U30" s="93">
        <v>28443.710276151283</v>
      </c>
      <c r="V30" s="93">
        <v>24.295734393520604</v>
      </c>
      <c r="W30" s="94">
        <v>21882.314125389301</v>
      </c>
      <c r="X30" s="96">
        <v>1605842256.22962</v>
      </c>
      <c r="Y30" s="97">
        <v>1</v>
      </c>
      <c r="Z30" s="97">
        <v>1</v>
      </c>
      <c r="AA30" s="97">
        <v>1</v>
      </c>
      <c r="AB30" s="97">
        <v>1</v>
      </c>
      <c r="AC30" s="97">
        <v>2</v>
      </c>
      <c r="AD30" s="98">
        <v>1</v>
      </c>
      <c r="AE30" s="97">
        <v>1</v>
      </c>
      <c r="AF30" s="97">
        <v>2</v>
      </c>
      <c r="AG30" s="97">
        <v>3</v>
      </c>
      <c r="AH30" s="97">
        <v>3</v>
      </c>
      <c r="AI30" s="99">
        <v>354.57453492704684</v>
      </c>
      <c r="AJ30" s="100">
        <v>290.45596822288331</v>
      </c>
      <c r="AK30" s="101">
        <v>244.93292480990476</v>
      </c>
      <c r="AL30" s="102">
        <v>180.81435810574121</v>
      </c>
      <c r="AM30" s="103" t="str">
        <f t="shared" si="0"/>
        <v>HEAA 120</v>
      </c>
    </row>
    <row r="31" spans="1:39" s="104" customFormat="1">
      <c r="A31" s="86" t="s">
        <v>209</v>
      </c>
      <c r="B31" s="87">
        <f>IF(C31&lt;=2,Q31,P31)*IF(head!F$57="S235",235,IF(head!F$57="S275",275,IF(head!F$57="S355",355,IF(head!F$57="S420",420,460))))/1000000</f>
        <v>34.889271196143632</v>
      </c>
      <c r="C31" s="88">
        <f>IF(head!$F$57="S235",Y31,IF(head!$F$57="S275",Z31,IF(head!$F$57="S355",AA31,IF(head!$F$57="S420",AB31,AC31))))</f>
        <v>3</v>
      </c>
      <c r="D31" s="89">
        <f>IF(E31&lt;=2,Q31,P31)*IF(head!F$57="S235",235,IF(head!F$57="S275",275,IF(head!F$57="S355",355,IF(head!F$57="S420",420,460))))/(head!$G$31*head!$G$32*1000000)</f>
        <v>41.046201407227805</v>
      </c>
      <c r="E31" s="90">
        <f>IF(head!$F$57="S235",AD31,IF(head!$F$57="S275",AE31,IF(head!$F$57="S355",AF31,IF(head!$F$57="S420",AG31,AH31))))</f>
        <v>3</v>
      </c>
      <c r="F31" s="91">
        <v>109</v>
      </c>
      <c r="G31" s="91">
        <v>120</v>
      </c>
      <c r="H31" s="91">
        <v>4.2</v>
      </c>
      <c r="I31" s="91">
        <v>5.5</v>
      </c>
      <c r="J31" s="91">
        <v>12</v>
      </c>
      <c r="K31" s="92">
        <v>14.563403664382097</v>
      </c>
      <c r="L31" s="93">
        <v>14.841685263064557</v>
      </c>
      <c r="M31" s="93">
        <v>1855.2106578830696</v>
      </c>
      <c r="N31" s="93">
        <v>0.66899822368615502</v>
      </c>
      <c r="O31" s="94">
        <v>4133620.1743257134</v>
      </c>
      <c r="P31" s="93">
        <v>75846.241730747031</v>
      </c>
      <c r="Q31" s="93">
        <v>84119.79434167358</v>
      </c>
      <c r="R31" s="95">
        <v>47.202898653642983</v>
      </c>
      <c r="S31" s="93">
        <v>1588055.6705775238</v>
      </c>
      <c r="T31" s="93">
        <v>26467.594509625396</v>
      </c>
      <c r="U31" s="93">
        <v>40623.090276151292</v>
      </c>
      <c r="V31" s="93">
        <v>29.257434818531163</v>
      </c>
      <c r="W31" s="94">
        <v>24545.453422306698</v>
      </c>
      <c r="X31" s="96">
        <v>4118559215.7061801</v>
      </c>
      <c r="Y31" s="97">
        <v>1</v>
      </c>
      <c r="Z31" s="97">
        <v>2</v>
      </c>
      <c r="AA31" s="97">
        <v>3</v>
      </c>
      <c r="AB31" s="97">
        <v>3</v>
      </c>
      <c r="AC31" s="97">
        <v>3</v>
      </c>
      <c r="AD31" s="98">
        <v>2</v>
      </c>
      <c r="AE31" s="97">
        <v>3</v>
      </c>
      <c r="AF31" s="97">
        <v>3</v>
      </c>
      <c r="AG31" s="97">
        <v>3</v>
      </c>
      <c r="AH31" s="97">
        <v>3</v>
      </c>
      <c r="AI31" s="99">
        <v>360.60499159137578</v>
      </c>
      <c r="AJ31" s="100">
        <v>295.92231014487703</v>
      </c>
      <c r="AK31" s="101">
        <v>246.8722341874703</v>
      </c>
      <c r="AL31" s="102">
        <v>182.18955274097155</v>
      </c>
      <c r="AM31" s="103" t="str">
        <f t="shared" si="0"/>
        <v>HEAA 140</v>
      </c>
    </row>
    <row r="32" spans="1:39" s="104" customFormat="1">
      <c r="A32" s="86" t="s">
        <v>210</v>
      </c>
      <c r="B32" s="87">
        <f>IF(C32&lt;=2,Q32,P32)*IF(head!F$57="S235",235,IF(head!F$57="S275",275,IF(head!F$57="S355",355,IF(head!F$57="S420",420,460))))/1000000</f>
        <v>51.710808017473049</v>
      </c>
      <c r="C32" s="88">
        <f>IF(head!$F$57="S235",Y32,IF(head!$F$57="S275",Z32,IF(head!$F$57="S355",AA32,IF(head!$F$57="S420",AB32,AC32))))</f>
        <v>3</v>
      </c>
      <c r="D32" s="89">
        <f>IF(E32&lt;=2,Q32,P32)*IF(head!F$57="S235",235,IF(head!F$57="S275",275,IF(head!F$57="S355",355,IF(head!F$57="S420",420,460))))/(head!$G$31*head!$G$32*1000000)</f>
        <v>60.836244726438885</v>
      </c>
      <c r="E32" s="90">
        <f>IF(head!$F$57="S235",AD32,IF(head!$F$57="S275",AE32,IF(head!$F$57="S355",AF32,IF(head!$F$57="S420",AG32,AH32))))</f>
        <v>4</v>
      </c>
      <c r="F32" s="91">
        <v>128</v>
      </c>
      <c r="G32" s="91">
        <v>140</v>
      </c>
      <c r="H32" s="91">
        <v>4.3</v>
      </c>
      <c r="I32" s="91">
        <v>6</v>
      </c>
      <c r="J32" s="91">
        <v>12</v>
      </c>
      <c r="K32" s="92">
        <v>18.0739236643821</v>
      </c>
      <c r="L32" s="93">
        <v>18.419285263064559</v>
      </c>
      <c r="M32" s="93">
        <v>2302.4106578830701</v>
      </c>
      <c r="N32" s="93">
        <v>0.78679822368615493</v>
      </c>
      <c r="O32" s="94">
        <v>7194547.2024310334</v>
      </c>
      <c r="P32" s="93">
        <v>112414.8000379849</v>
      </c>
      <c r="Q32" s="93">
        <v>123783.29026262122</v>
      </c>
      <c r="R32" s="95">
        <v>55.899811018984899</v>
      </c>
      <c r="S32" s="93">
        <v>2748278.5862984504</v>
      </c>
      <c r="T32" s="93">
        <v>39261.122661406436</v>
      </c>
      <c r="U32" s="93">
        <v>59933.300809045439</v>
      </c>
      <c r="V32" s="93">
        <v>34.549278593895572</v>
      </c>
      <c r="W32" s="94">
        <v>33021.306516591801</v>
      </c>
      <c r="X32" s="96">
        <v>9991708317.5792408</v>
      </c>
      <c r="Y32" s="97">
        <v>2</v>
      </c>
      <c r="Z32" s="97">
        <v>3</v>
      </c>
      <c r="AA32" s="97">
        <v>3</v>
      </c>
      <c r="AB32" s="97">
        <v>3</v>
      </c>
      <c r="AC32" s="97">
        <v>3</v>
      </c>
      <c r="AD32" s="98">
        <v>3</v>
      </c>
      <c r="AE32" s="97">
        <v>3</v>
      </c>
      <c r="AF32" s="97">
        <v>3</v>
      </c>
      <c r="AG32" s="97">
        <v>4</v>
      </c>
      <c r="AH32" s="97">
        <v>4</v>
      </c>
      <c r="AI32" s="99">
        <v>341.72801493612315</v>
      </c>
      <c r="AJ32" s="100">
        <v>280.92218105038114</v>
      </c>
      <c r="AK32" s="101">
        <v>232.79947830541238</v>
      </c>
      <c r="AL32" s="102">
        <v>171.99364441967032</v>
      </c>
      <c r="AM32" s="103" t="str">
        <f t="shared" si="0"/>
        <v>HEAA 160</v>
      </c>
    </row>
    <row r="33" spans="1:39" s="104" customFormat="1">
      <c r="A33" s="86" t="s">
        <v>211</v>
      </c>
      <c r="B33" s="87">
        <f>IF(C33&lt;=2,Q33,P33)*IF(head!F$57="S235",235,IF(head!F$57="S275",275,IF(head!F$57="S355",355,IF(head!F$57="S420",420,460))))/1000000</f>
        <v>79.746531899085056</v>
      </c>
      <c r="C33" s="88">
        <f>IF(head!$F$57="S235",Y33,IF(head!$F$57="S275",Z33,IF(head!$F$57="S355",AA33,IF(head!$F$57="S420",AB33,AC33))))</f>
        <v>3</v>
      </c>
      <c r="D33" s="89">
        <f>IF(E33&lt;=2,Q33,P33)*IF(head!F$57="S235",235,IF(head!F$57="S275",275,IF(head!F$57="S355",355,IF(head!F$57="S420",420,460))))/(head!$G$31*head!$G$32*1000000)</f>
        <v>93.819449293041245</v>
      </c>
      <c r="E33" s="90">
        <f>IF(head!$F$57="S235",AD33,IF(head!$F$57="S275",AE33,IF(head!$F$57="S355",AF33,IF(head!$F$57="S420",AG33,AH33))))</f>
        <v>4</v>
      </c>
      <c r="F33" s="91">
        <v>148</v>
      </c>
      <c r="G33" s="91">
        <v>160</v>
      </c>
      <c r="H33" s="91">
        <v>4.5</v>
      </c>
      <c r="I33" s="91">
        <v>7</v>
      </c>
      <c r="J33" s="91">
        <v>15</v>
      </c>
      <c r="K33" s="92">
        <v>23.83371197559703</v>
      </c>
      <c r="L33" s="93">
        <v>24.289133223538371</v>
      </c>
      <c r="M33" s="93">
        <v>3036.1416529422968</v>
      </c>
      <c r="N33" s="93">
        <v>0.90124777960769387</v>
      </c>
      <c r="O33" s="94">
        <v>12828789.914200641</v>
      </c>
      <c r="P33" s="93">
        <v>173362.02586757622</v>
      </c>
      <c r="Q33" s="93">
        <v>190413.86595299942</v>
      </c>
      <c r="R33" s="95">
        <v>65.00276516769128</v>
      </c>
      <c r="S33" s="93">
        <v>4787270.1602483122</v>
      </c>
      <c r="T33" s="93">
        <v>59840.877003103902</v>
      </c>
      <c r="U33" s="93">
        <v>91360.06851325462</v>
      </c>
      <c r="V33" s="93">
        <v>39.708451688593016</v>
      </c>
      <c r="W33" s="94">
        <v>60639.413204904195</v>
      </c>
      <c r="X33" s="96">
        <v>23191525200.7686</v>
      </c>
      <c r="Y33" s="97">
        <v>1</v>
      </c>
      <c r="Z33" s="97">
        <v>2</v>
      </c>
      <c r="AA33" s="97">
        <v>3</v>
      </c>
      <c r="AB33" s="97">
        <v>3</v>
      </c>
      <c r="AC33" s="97">
        <v>3</v>
      </c>
      <c r="AD33" s="98">
        <v>3</v>
      </c>
      <c r="AE33" s="97">
        <v>3</v>
      </c>
      <c r="AF33" s="97">
        <v>3</v>
      </c>
      <c r="AG33" s="97">
        <v>4</v>
      </c>
      <c r="AH33" s="97">
        <v>4</v>
      </c>
      <c r="AI33" s="99">
        <v>296.83983246773187</v>
      </c>
      <c r="AJ33" s="100">
        <v>244.14136899355714</v>
      </c>
      <c r="AK33" s="101">
        <v>202.88908437557257</v>
      </c>
      <c r="AL33" s="102">
        <v>150.19062090139786</v>
      </c>
      <c r="AM33" s="103" t="str">
        <f t="shared" si="0"/>
        <v>HEAA 180</v>
      </c>
    </row>
    <row r="34" spans="1:39" s="104" customFormat="1">
      <c r="A34" s="86" t="s">
        <v>212</v>
      </c>
      <c r="B34" s="87">
        <f>IF(C34&lt;=2,Q34,P34)*IF(head!F$57="S235",235,IF(head!F$57="S275",275,IF(head!F$57="S355",355,IF(head!F$57="S420",420,460))))/1000000</f>
        <v>108.35615467399313</v>
      </c>
      <c r="C34" s="88">
        <f>IF(head!$F$57="S235",Y34,IF(head!$F$57="S275",Z34,IF(head!$F$57="S355",AA34,IF(head!$F$57="S420",AB34,AC34))))</f>
        <v>3</v>
      </c>
      <c r="D34" s="89">
        <f>IF(E34&lt;=2,Q34,P34)*IF(head!F$57="S235",235,IF(head!F$57="S275",275,IF(head!F$57="S355",355,IF(head!F$57="S420",420,460))))/(head!$G$31*head!$G$32*1000000)</f>
        <v>127.47782902822721</v>
      </c>
      <c r="E34" s="90">
        <f>IF(head!$F$57="S235",AD34,IF(head!$F$57="S275",AE34,IF(head!$F$57="S355",AF34,IF(head!$F$57="S420",AG34,AH34))))</f>
        <v>4</v>
      </c>
      <c r="F34" s="91">
        <v>167</v>
      </c>
      <c r="G34" s="91">
        <v>180</v>
      </c>
      <c r="H34" s="91">
        <v>5</v>
      </c>
      <c r="I34" s="91">
        <v>7.5</v>
      </c>
      <c r="J34" s="91">
        <v>15</v>
      </c>
      <c r="K34" s="92">
        <v>28.677161975597031</v>
      </c>
      <c r="L34" s="93">
        <v>29.225133223538371</v>
      </c>
      <c r="M34" s="93">
        <v>3653.1416529422968</v>
      </c>
      <c r="N34" s="93">
        <v>1.0182477796076939</v>
      </c>
      <c r="O34" s="94">
        <v>19668997.641909622</v>
      </c>
      <c r="P34" s="93">
        <v>235556.85798694158</v>
      </c>
      <c r="Q34" s="93">
        <v>258236.64082948005</v>
      </c>
      <c r="R34" s="95">
        <v>73.376646217765213</v>
      </c>
      <c r="S34" s="93">
        <v>7299722.1825249149</v>
      </c>
      <c r="T34" s="93">
        <v>81108.024250276838</v>
      </c>
      <c r="U34" s="93">
        <v>123579.97892649019</v>
      </c>
      <c r="V34" s="93">
        <v>44.701274901737634</v>
      </c>
      <c r="W34" s="94">
        <v>79790.5050540503</v>
      </c>
      <c r="X34" s="96">
        <v>45469117400.669296</v>
      </c>
      <c r="Y34" s="97">
        <v>2</v>
      </c>
      <c r="Z34" s="97">
        <v>3</v>
      </c>
      <c r="AA34" s="97">
        <v>3</v>
      </c>
      <c r="AB34" s="97">
        <v>3</v>
      </c>
      <c r="AC34" s="97">
        <v>3</v>
      </c>
      <c r="AD34" s="98">
        <v>3</v>
      </c>
      <c r="AE34" s="97">
        <v>3</v>
      </c>
      <c r="AF34" s="97">
        <v>3</v>
      </c>
      <c r="AG34" s="97">
        <v>4</v>
      </c>
      <c r="AH34" s="97">
        <v>4</v>
      </c>
      <c r="AI34" s="99">
        <v>278.732082230532</v>
      </c>
      <c r="AJ34" s="100">
        <v>229.45942403644713</v>
      </c>
      <c r="AK34" s="101">
        <v>189.97347103719389</v>
      </c>
      <c r="AL34" s="102">
        <v>140.70081284310902</v>
      </c>
      <c r="AM34" s="103" t="str">
        <f t="shared" si="0"/>
        <v>HEAA 200</v>
      </c>
    </row>
    <row r="35" spans="1:39" s="104" customFormat="1">
      <c r="A35" s="86" t="s">
        <v>213</v>
      </c>
      <c r="B35" s="87">
        <f>IF(C35&lt;=2,Q35,P35)*IF(head!F$57="S235",235,IF(head!F$57="S275",275,IF(head!F$57="S355",355,IF(head!F$57="S420",420,460))))/1000000</f>
        <v>145.63238392029419</v>
      </c>
      <c r="C35" s="88">
        <f>IF(head!$F$57="S235",Y35,IF(head!$F$57="S275",Z35,IF(head!$F$57="S355",AA35,IF(head!$F$57="S420",AB35,AC35))))</f>
        <v>3</v>
      </c>
      <c r="D35" s="89">
        <f>IF(E35&lt;=2,Q35,P35)*IF(head!F$57="S235",235,IF(head!F$57="S275",275,IF(head!F$57="S355",355,IF(head!F$57="S420",420,460))))/(head!$G$31*head!$G$32*1000000)</f>
        <v>171.33221637681669</v>
      </c>
      <c r="E35" s="90">
        <f>IF(head!$F$57="S235",AD35,IF(head!$F$57="S275",AE35,IF(head!$F$57="S355",AF35,IF(head!$F$57="S420",AG35,AH35))))</f>
        <v>4</v>
      </c>
      <c r="F35" s="91">
        <v>186</v>
      </c>
      <c r="G35" s="91">
        <v>200</v>
      </c>
      <c r="H35" s="91">
        <v>5.5</v>
      </c>
      <c r="I35" s="91">
        <v>8</v>
      </c>
      <c r="J35" s="91">
        <v>18</v>
      </c>
      <c r="K35" s="92">
        <v>34.643023244859727</v>
      </c>
      <c r="L35" s="93">
        <v>35.304991841895259</v>
      </c>
      <c r="M35" s="93">
        <v>4413.1239802369073</v>
      </c>
      <c r="N35" s="93">
        <v>1.1300973355292325</v>
      </c>
      <c r="O35" s="94">
        <v>29443068.923016001</v>
      </c>
      <c r="P35" s="93">
        <v>316592.13895716128</v>
      </c>
      <c r="Q35" s="93">
        <v>347059.80667587277</v>
      </c>
      <c r="R35" s="95">
        <v>81.680516169921077</v>
      </c>
      <c r="S35" s="93">
        <v>10684941.444473278</v>
      </c>
      <c r="T35" s="93">
        <v>106849.41444473276</v>
      </c>
      <c r="U35" s="93">
        <v>163168.69758991583</v>
      </c>
      <c r="V35" s="93">
        <v>49.205427461962287</v>
      </c>
      <c r="W35" s="94">
        <v>117524.700862873</v>
      </c>
      <c r="X35" s="96">
        <v>82643082699.156204</v>
      </c>
      <c r="Y35" s="97">
        <v>2</v>
      </c>
      <c r="Z35" s="97">
        <v>3</v>
      </c>
      <c r="AA35" s="97">
        <v>3</v>
      </c>
      <c r="AB35" s="97">
        <v>3</v>
      </c>
      <c r="AC35" s="97">
        <v>3</v>
      </c>
      <c r="AD35" s="98">
        <v>3</v>
      </c>
      <c r="AE35" s="97">
        <v>3</v>
      </c>
      <c r="AF35" s="97">
        <v>4</v>
      </c>
      <c r="AG35" s="97">
        <v>4</v>
      </c>
      <c r="AH35" s="97">
        <v>4</v>
      </c>
      <c r="AI35" s="99">
        <v>256.07649832411147</v>
      </c>
      <c r="AJ35" s="100">
        <v>210.75712798789368</v>
      </c>
      <c r="AK35" s="101">
        <v>174.93276949780076</v>
      </c>
      <c r="AL35" s="102">
        <v>129.61339916158295</v>
      </c>
      <c r="AM35" s="103" t="str">
        <f t="shared" si="0"/>
        <v>HEAA 220</v>
      </c>
    </row>
    <row r="36" spans="1:39" s="104" customFormat="1">
      <c r="A36" s="86" t="s">
        <v>214</v>
      </c>
      <c r="B36" s="87">
        <f>IF(C36&lt;=2,Q36,P36)*IF(head!F$57="S235",235,IF(head!F$57="S275",275,IF(head!F$57="S355",355,IF(head!F$57="S420",420,460))))/1000000</f>
        <v>187.15155118732241</v>
      </c>
      <c r="C36" s="88">
        <f>IF(head!$F$57="S235",Y36,IF(head!$F$57="S275",Z36,IF(head!$F$57="S355",AA36,IF(head!$F$57="S420",AB36,AC36))))</f>
        <v>4</v>
      </c>
      <c r="D36" s="89">
        <f>IF(E36&lt;=2,Q36,P36)*IF(head!F$57="S235",235,IF(head!F$57="S275",275,IF(head!F$57="S355",355,IF(head!F$57="S420",420,460))))/(head!$G$31*head!$G$32*1000000)</f>
        <v>220.17829551449694</v>
      </c>
      <c r="E36" s="90">
        <f>IF(head!$F$57="S235",AD36,IF(head!$F$57="S275",AE36,IF(head!$F$57="S355",AF36,IF(head!$F$57="S420",AG36,AH36))))</f>
        <v>4</v>
      </c>
      <c r="F36" s="91">
        <v>205</v>
      </c>
      <c r="G36" s="91">
        <v>220</v>
      </c>
      <c r="H36" s="91">
        <v>6</v>
      </c>
      <c r="I36" s="91">
        <v>8.5</v>
      </c>
      <c r="J36" s="91">
        <v>18</v>
      </c>
      <c r="K36" s="92">
        <v>40.397073244859726</v>
      </c>
      <c r="L36" s="93">
        <v>41.168991841895263</v>
      </c>
      <c r="M36" s="93">
        <v>5146.1239802369073</v>
      </c>
      <c r="N36" s="93">
        <v>1.2470973355292325</v>
      </c>
      <c r="O36" s="94">
        <v>41702247.818914227</v>
      </c>
      <c r="P36" s="93">
        <v>406851.19823330955</v>
      </c>
      <c r="Q36" s="93">
        <v>445496.42249800498</v>
      </c>
      <c r="R36" s="95">
        <v>90.020124633696398</v>
      </c>
      <c r="S36" s="93">
        <v>15104927.384350332</v>
      </c>
      <c r="T36" s="93">
        <v>137317.52167591211</v>
      </c>
      <c r="U36" s="93">
        <v>209344.60358497506</v>
      </c>
      <c r="V36" s="93">
        <v>54.177529637661898</v>
      </c>
      <c r="W36" s="94">
        <v>148246.14217082801</v>
      </c>
      <c r="X36" s="96">
        <v>142896833402.396</v>
      </c>
      <c r="Y36" s="97">
        <v>3</v>
      </c>
      <c r="Z36" s="97">
        <v>3</v>
      </c>
      <c r="AA36" s="97">
        <v>3</v>
      </c>
      <c r="AB36" s="97">
        <v>3</v>
      </c>
      <c r="AC36" s="97">
        <v>4</v>
      </c>
      <c r="AD36" s="98">
        <v>3</v>
      </c>
      <c r="AE36" s="97">
        <v>3</v>
      </c>
      <c r="AF36" s="97">
        <v>4</v>
      </c>
      <c r="AG36" s="97">
        <v>4</v>
      </c>
      <c r="AH36" s="97">
        <v>4</v>
      </c>
      <c r="AI36" s="99">
        <v>242.33721152435604</v>
      </c>
      <c r="AJ36" s="100">
        <v>199.58658972727451</v>
      </c>
      <c r="AK36" s="101">
        <v>165.17285694326964</v>
      </c>
      <c r="AL36" s="102">
        <v>122.42223514618809</v>
      </c>
      <c r="AM36" s="103" t="str">
        <f t="shared" si="0"/>
        <v>HEAA 240</v>
      </c>
    </row>
    <row r="37" spans="1:39" s="104" customFormat="1">
      <c r="A37" s="86" t="s">
        <v>215</v>
      </c>
      <c r="B37" s="87">
        <f>IF(C37&lt;=2,Q37,P37)*IF(head!F$57="S235",235,IF(head!F$57="S275",275,IF(head!F$57="S355",355,IF(head!F$57="S420",420,460))))/1000000</f>
        <v>239.65930541195289</v>
      </c>
      <c r="C37" s="88">
        <f>IF(head!$F$57="S235",Y37,IF(head!$F$57="S275",Z37,IF(head!$F$57="S355",AA37,IF(head!$F$57="S420",AB37,AC37))))</f>
        <v>4</v>
      </c>
      <c r="D37" s="89">
        <f>IF(E37&lt;=2,Q37,P37)*IF(head!F$57="S235",235,IF(head!F$57="S275",275,IF(head!F$57="S355",355,IF(head!F$57="S420",420,460))))/(head!$G$31*head!$G$32*1000000)</f>
        <v>281.95212401406224</v>
      </c>
      <c r="E37" s="90">
        <f>IF(head!$F$57="S235",AD37,IF(head!$F$57="S275",AE37,IF(head!$F$57="S355",AF37,IF(head!$F$57="S420",AG37,AH37))))</f>
        <v>4</v>
      </c>
      <c r="F37" s="91">
        <v>224</v>
      </c>
      <c r="G37" s="91">
        <v>240</v>
      </c>
      <c r="H37" s="91">
        <v>6.5</v>
      </c>
      <c r="I37" s="91">
        <v>9</v>
      </c>
      <c r="J37" s="91">
        <v>21</v>
      </c>
      <c r="K37" s="92">
        <v>47.394827472170171</v>
      </c>
      <c r="L37" s="93">
        <v>48.300461118135203</v>
      </c>
      <c r="M37" s="93">
        <v>6037.557639766901</v>
      </c>
      <c r="N37" s="93">
        <v>1.3589468914507714</v>
      </c>
      <c r="O37" s="94">
        <v>58351830.882910274</v>
      </c>
      <c r="P37" s="93">
        <v>520998.49002598453</v>
      </c>
      <c r="Q37" s="93">
        <v>570574.22646088596</v>
      </c>
      <c r="R37" s="95">
        <v>98.309751579372829</v>
      </c>
      <c r="S37" s="93">
        <v>20770453.927653056</v>
      </c>
      <c r="T37" s="93">
        <v>173087.11606377547</v>
      </c>
      <c r="U37" s="93">
        <v>264381.89776434732</v>
      </c>
      <c r="V37" s="93">
        <v>58.653286119780603</v>
      </c>
      <c r="W37" s="94">
        <v>207136.41359521099</v>
      </c>
      <c r="X37" s="96">
        <v>234651718523.37</v>
      </c>
      <c r="Y37" s="97">
        <v>3</v>
      </c>
      <c r="Z37" s="97">
        <v>3</v>
      </c>
      <c r="AA37" s="97">
        <v>3</v>
      </c>
      <c r="AB37" s="97">
        <v>4</v>
      </c>
      <c r="AC37" s="97">
        <v>4</v>
      </c>
      <c r="AD37" s="98">
        <v>3</v>
      </c>
      <c r="AE37" s="97">
        <v>3</v>
      </c>
      <c r="AF37" s="97">
        <v>4</v>
      </c>
      <c r="AG37" s="97">
        <v>4</v>
      </c>
      <c r="AH37" s="97">
        <v>4</v>
      </c>
      <c r="AI37" s="99">
        <v>225.08222240396498</v>
      </c>
      <c r="AJ37" s="100">
        <v>185.33104911176829</v>
      </c>
      <c r="AK37" s="101">
        <v>153.70453672982711</v>
      </c>
      <c r="AL37" s="102">
        <v>113.95336343763044</v>
      </c>
      <c r="AM37" s="103" t="str">
        <f t="shared" si="0"/>
        <v>HEAA 260</v>
      </c>
    </row>
    <row r="38" spans="1:39" s="104" customFormat="1">
      <c r="A38" s="86" t="s">
        <v>216</v>
      </c>
      <c r="B38" s="87">
        <f>IF(C38&lt;=2,Q38,P38)*IF(head!F$57="S235",235,IF(head!F$57="S275",275,IF(head!F$57="S355",355,IF(head!F$57="S420",420,460))))/1000000</f>
        <v>300.90657022504882</v>
      </c>
      <c r="C38" s="88">
        <f>IF(head!$F$57="S235",Y38,IF(head!$F$57="S275",Z38,IF(head!$F$57="S355",AA38,IF(head!$F$57="S420",AB38,AC38))))</f>
        <v>4</v>
      </c>
      <c r="D38" s="89">
        <f>IF(E38&lt;=2,Q38,P38)*IF(head!F$57="S235",235,IF(head!F$57="S275",275,IF(head!F$57="S355",355,IF(head!F$57="S420",420,460))))/(head!$G$31*head!$G$32*1000000)</f>
        <v>354.00772967652807</v>
      </c>
      <c r="E38" s="90">
        <f>IF(head!$F$57="S235",AD38,IF(head!$F$57="S275",AE38,IF(head!$F$57="S355",AF38,IF(head!$F$57="S420",AG38,AH38))))</f>
        <v>4</v>
      </c>
      <c r="F38" s="91">
        <v>244</v>
      </c>
      <c r="G38" s="91">
        <v>260</v>
      </c>
      <c r="H38" s="91">
        <v>6.5</v>
      </c>
      <c r="I38" s="91">
        <v>9.5</v>
      </c>
      <c r="J38" s="91">
        <v>24</v>
      </c>
      <c r="K38" s="92">
        <v>54.14099965752839</v>
      </c>
      <c r="L38" s="93">
        <v>55.175541052258232</v>
      </c>
      <c r="M38" s="93">
        <v>6896.9426315322789</v>
      </c>
      <c r="N38" s="93">
        <v>1.47379644737231</v>
      </c>
      <c r="O38" s="94">
        <v>79805655.581425995</v>
      </c>
      <c r="P38" s="93">
        <v>654144.71788054099</v>
      </c>
      <c r="Q38" s="93">
        <v>714454.79789060669</v>
      </c>
      <c r="R38" s="95">
        <v>107.56934594729421</v>
      </c>
      <c r="S38" s="93">
        <v>27880490.1809345</v>
      </c>
      <c r="T38" s="93">
        <v>214465.30908411153</v>
      </c>
      <c r="U38" s="93">
        <v>327734.12420925457</v>
      </c>
      <c r="V38" s="93">
        <v>63.580200882591221</v>
      </c>
      <c r="W38" s="94">
        <v>273889.38004630298</v>
      </c>
      <c r="X38" s="96">
        <v>374187682761.112</v>
      </c>
      <c r="Y38" s="97">
        <v>3</v>
      </c>
      <c r="Z38" s="97">
        <v>3</v>
      </c>
      <c r="AA38" s="97">
        <v>3</v>
      </c>
      <c r="AB38" s="97">
        <v>4</v>
      </c>
      <c r="AC38" s="97">
        <v>4</v>
      </c>
      <c r="AD38" s="98">
        <v>3</v>
      </c>
      <c r="AE38" s="97">
        <v>3</v>
      </c>
      <c r="AF38" s="97">
        <v>4</v>
      </c>
      <c r="AG38" s="97">
        <v>4</v>
      </c>
      <c r="AH38" s="97">
        <v>4</v>
      </c>
      <c r="AI38" s="99">
        <v>213.688372676065</v>
      </c>
      <c r="AJ38" s="100">
        <v>175.99050945022049</v>
      </c>
      <c r="AK38" s="101">
        <v>146.15171589096641</v>
      </c>
      <c r="AL38" s="102">
        <v>108.45385266512191</v>
      </c>
      <c r="AM38" s="103" t="str">
        <f t="shared" si="0"/>
        <v>HEAA 280</v>
      </c>
    </row>
    <row r="39" spans="1:39" s="104" customFormat="1">
      <c r="A39" s="86" t="s">
        <v>217</v>
      </c>
      <c r="B39" s="87">
        <f>IF(C39&lt;=2,Q39,P39)*IF(head!F$57="S235",235,IF(head!F$57="S275",275,IF(head!F$57="S355",355,IF(head!F$57="S420",420,460))))/1000000</f>
        <v>367.92953208485801</v>
      </c>
      <c r="C39" s="88">
        <f>IF(head!$F$57="S235",Y39,IF(head!$F$57="S275",Z39,IF(head!$F$57="S355",AA39,IF(head!$F$57="S420",AB39,AC39))))</f>
        <v>4</v>
      </c>
      <c r="D39" s="89">
        <f>IF(E39&lt;=2,Q39,P39)*IF(head!F$57="S235",235,IF(head!F$57="S275",275,IF(head!F$57="S355",355,IF(head!F$57="S420",420,460))))/(head!$G$31*head!$G$32*1000000)</f>
        <v>432.8582730410094</v>
      </c>
      <c r="E39" s="90">
        <f>IF(head!$F$57="S235",AD39,IF(head!$F$57="S275",AE39,IF(head!$F$57="S355",AF39,IF(head!$F$57="S420",AG39,AH39))))</f>
        <v>4</v>
      </c>
      <c r="F39" s="91">
        <v>264</v>
      </c>
      <c r="G39" s="91">
        <v>280</v>
      </c>
      <c r="H39" s="91">
        <v>7</v>
      </c>
      <c r="I39" s="91">
        <v>10</v>
      </c>
      <c r="J39" s="91">
        <v>24</v>
      </c>
      <c r="K39" s="92">
        <v>61.249174657528393</v>
      </c>
      <c r="L39" s="93">
        <v>62.419541052258232</v>
      </c>
      <c r="M39" s="93">
        <v>7802.4426315322789</v>
      </c>
      <c r="N39" s="93">
        <v>1.59279644737231</v>
      </c>
      <c r="O39" s="94">
        <v>105579778.77217665</v>
      </c>
      <c r="P39" s="93">
        <v>799846.8088801261</v>
      </c>
      <c r="Q39" s="93">
        <v>873059.37789016333</v>
      </c>
      <c r="R39" s="95">
        <v>116.32554120309398</v>
      </c>
      <c r="S39" s="93">
        <v>36642474.979036935</v>
      </c>
      <c r="T39" s="93">
        <v>261731.96413597811</v>
      </c>
      <c r="U39" s="93">
        <v>399370.17236713762</v>
      </c>
      <c r="V39" s="93">
        <v>68.529428164258476</v>
      </c>
      <c r="W39" s="94">
        <v>329363.822775707</v>
      </c>
      <c r="X39" s="96">
        <v>578700434568.40906</v>
      </c>
      <c r="Y39" s="97">
        <v>3</v>
      </c>
      <c r="Z39" s="97">
        <v>3</v>
      </c>
      <c r="AA39" s="97">
        <v>3</v>
      </c>
      <c r="AB39" s="97">
        <v>4</v>
      </c>
      <c r="AC39" s="97">
        <v>4</v>
      </c>
      <c r="AD39" s="98">
        <v>3</v>
      </c>
      <c r="AE39" s="97">
        <v>4</v>
      </c>
      <c r="AF39" s="97">
        <v>4</v>
      </c>
      <c r="AG39" s="97">
        <v>4</v>
      </c>
      <c r="AH39" s="97">
        <v>4</v>
      </c>
      <c r="AI39" s="99">
        <v>204.14074445549744</v>
      </c>
      <c r="AJ39" s="100">
        <v>168.25454660401613</v>
      </c>
      <c r="AK39" s="101">
        <v>139.44351165147032</v>
      </c>
      <c r="AL39" s="102">
        <v>103.55731379998898</v>
      </c>
      <c r="AM39" s="103" t="str">
        <f t="shared" si="0"/>
        <v>HEAA 300</v>
      </c>
    </row>
    <row r="40" spans="1:39" s="104" customFormat="1">
      <c r="A40" s="86" t="s">
        <v>218</v>
      </c>
      <c r="B40" s="87">
        <f>IF(C40&lt;=2,Q40,P40)*IF(head!F$57="S235",235,IF(head!F$57="S275",275,IF(head!F$57="S355",355,IF(head!F$57="S420",420,460))))/1000000</f>
        <v>448.75495507376672</v>
      </c>
      <c r="C40" s="88">
        <f>IF(head!$F$57="S235",Y40,IF(head!$F$57="S275",Z40,IF(head!$F$57="S355",AA40,IF(head!$F$57="S420",AB40,AC40))))</f>
        <v>4</v>
      </c>
      <c r="D40" s="89">
        <f>IF(E40&lt;=2,Q40,P40)*IF(head!F$57="S235",235,IF(head!F$57="S275",275,IF(head!F$57="S355",355,IF(head!F$57="S420",420,460))))/(head!$G$31*head!$G$32*1000000)</f>
        <v>527.94700596913731</v>
      </c>
      <c r="E40" s="90">
        <f>IF(head!$F$57="S235",AD40,IF(head!$F$57="S275",AE40,IF(head!$F$57="S355",AF40,IF(head!$F$57="S420",AG40,AH40))))</f>
        <v>4</v>
      </c>
      <c r="F40" s="91">
        <v>283</v>
      </c>
      <c r="G40" s="91">
        <v>300</v>
      </c>
      <c r="H40" s="91">
        <v>7.5</v>
      </c>
      <c r="I40" s="91">
        <v>10.5</v>
      </c>
      <c r="J40" s="91">
        <v>27</v>
      </c>
      <c r="K40" s="92">
        <v>69.792614800934359</v>
      </c>
      <c r="L40" s="93">
        <v>71.126231644264323</v>
      </c>
      <c r="M40" s="93">
        <v>8890.7789555330401</v>
      </c>
      <c r="N40" s="93">
        <v>1.7046460032938489</v>
      </c>
      <c r="O40" s="94">
        <v>138040926.39769128</v>
      </c>
      <c r="P40" s="93">
        <v>975554.25016036246</v>
      </c>
      <c r="Q40" s="93">
        <v>1065285.5113754363</v>
      </c>
      <c r="R40" s="95">
        <v>124.60458588348402</v>
      </c>
      <c r="S40" s="93">
        <v>47335116.26578711</v>
      </c>
      <c r="T40" s="93">
        <v>315567.44177191408</v>
      </c>
      <c r="U40" s="93">
        <v>482305.077882641</v>
      </c>
      <c r="V40" s="93">
        <v>72.966214852609014</v>
      </c>
      <c r="W40" s="94">
        <v>435358.03574014897</v>
      </c>
      <c r="X40" s="96">
        <v>858765050608.39099</v>
      </c>
      <c r="Y40" s="97">
        <v>3</v>
      </c>
      <c r="Z40" s="97">
        <v>3</v>
      </c>
      <c r="AA40" s="97">
        <v>3</v>
      </c>
      <c r="AB40" s="97">
        <v>4</v>
      </c>
      <c r="AC40" s="97">
        <v>4</v>
      </c>
      <c r="AD40" s="98">
        <v>3</v>
      </c>
      <c r="AE40" s="97">
        <v>4</v>
      </c>
      <c r="AF40" s="97">
        <v>4</v>
      </c>
      <c r="AG40" s="97">
        <v>4</v>
      </c>
      <c r="AH40" s="97">
        <v>4</v>
      </c>
      <c r="AI40" s="99">
        <v>191.731906936342</v>
      </c>
      <c r="AJ40" s="100">
        <v>157.98908175753138</v>
      </c>
      <c r="AK40" s="101">
        <v>131.14711386164402</v>
      </c>
      <c r="AL40" s="102">
        <v>97.404288682833382</v>
      </c>
      <c r="AM40" s="103" t="str">
        <f t="shared" si="0"/>
        <v>HEAA 320</v>
      </c>
    </row>
    <row r="41" spans="1:39" s="104" customFormat="1">
      <c r="A41" s="86" t="s">
        <v>219</v>
      </c>
      <c r="B41" s="87">
        <f>IF(C41&lt;=2,Q41,P41)*IF(head!F$57="S235",235,IF(head!F$57="S275",275,IF(head!F$57="S355",355,IF(head!F$57="S420",420,460))))/1000000</f>
        <v>502.71011704638551</v>
      </c>
      <c r="C41" s="88">
        <f>IF(head!$F$57="S235",Y41,IF(head!$F$57="S275",Z41,IF(head!$F$57="S355",AA41,IF(head!$F$57="S420",AB41,AC41))))</f>
        <v>4</v>
      </c>
      <c r="D41" s="89">
        <f>IF(E41&lt;=2,Q41,P41)*IF(head!F$57="S235",235,IF(head!F$57="S275",275,IF(head!F$57="S355",355,IF(head!F$57="S420",420,460))))/(head!$G$31*head!$G$32*1000000)</f>
        <v>591.42366711339469</v>
      </c>
      <c r="E41" s="90">
        <f>IF(head!$F$57="S235",AD41,IF(head!$F$57="S275",AE41,IF(head!$F$57="S355",AF41,IF(head!$F$57="S420",AG41,AH41))))</f>
        <v>4</v>
      </c>
      <c r="F41" s="91">
        <v>301</v>
      </c>
      <c r="G41" s="91">
        <v>300</v>
      </c>
      <c r="H41" s="91">
        <v>8</v>
      </c>
      <c r="I41" s="91">
        <v>11</v>
      </c>
      <c r="J41" s="91">
        <v>27</v>
      </c>
      <c r="K41" s="92">
        <v>74.243564800934365</v>
      </c>
      <c r="L41" s="93">
        <v>75.662231644264324</v>
      </c>
      <c r="M41" s="93">
        <v>9457.7789555330401</v>
      </c>
      <c r="N41" s="93">
        <v>1.739646003293849</v>
      </c>
      <c r="O41" s="94">
        <v>164473636.12061092</v>
      </c>
      <c r="P41" s="93">
        <v>1092848.0805356207</v>
      </c>
      <c r="Q41" s="93">
        <v>1196204.1324974671</v>
      </c>
      <c r="R41" s="95">
        <v>131.87229582231811</v>
      </c>
      <c r="S41" s="93">
        <v>49590908.790913157</v>
      </c>
      <c r="T41" s="93">
        <v>330606.05860608764</v>
      </c>
      <c r="U41" s="93">
        <v>505741.14762152423</v>
      </c>
      <c r="V41" s="93">
        <v>72.411318229576267</v>
      </c>
      <c r="W41" s="94">
        <v>495178.07868928299</v>
      </c>
      <c r="X41" s="96">
        <v>1019909793982.38</v>
      </c>
      <c r="Y41" s="97">
        <v>3</v>
      </c>
      <c r="Z41" s="97">
        <v>3</v>
      </c>
      <c r="AA41" s="97">
        <v>3</v>
      </c>
      <c r="AB41" s="97">
        <v>4</v>
      </c>
      <c r="AC41" s="97">
        <v>4</v>
      </c>
      <c r="AD41" s="98">
        <v>3</v>
      </c>
      <c r="AE41" s="97">
        <v>3</v>
      </c>
      <c r="AF41" s="97">
        <v>4</v>
      </c>
      <c r="AG41" s="97">
        <v>4</v>
      </c>
      <c r="AH41" s="97">
        <v>4</v>
      </c>
      <c r="AI41" s="99">
        <v>183.93811184137604</v>
      </c>
      <c r="AJ41" s="100">
        <v>152.21819097935457</v>
      </c>
      <c r="AK41" s="101">
        <v>127.09114958716597</v>
      </c>
      <c r="AL41" s="102">
        <v>95.371228725144519</v>
      </c>
      <c r="AM41" s="103" t="str">
        <f t="shared" si="0"/>
        <v>HEAA 340</v>
      </c>
    </row>
    <row r="42" spans="1:39" s="104" customFormat="1">
      <c r="A42" s="86" t="s">
        <v>220</v>
      </c>
      <c r="B42" s="87">
        <f>IF(C42&lt;=2,Q42,P42)*IF(head!F$57="S235",235,IF(head!F$57="S275",275,IF(head!F$57="S355",355,IF(head!F$57="S420",420,460))))/1000000</f>
        <v>562.12830868089509</v>
      </c>
      <c r="C42" s="88">
        <f>IF(head!$F$57="S235",Y42,IF(head!$F$57="S275",Z42,IF(head!$F$57="S355",AA42,IF(head!$F$57="S420",AB42,AC42))))</f>
        <v>4</v>
      </c>
      <c r="D42" s="89">
        <f>IF(E42&lt;=2,Q42,P42)*IF(head!F$57="S235",235,IF(head!F$57="S275",275,IF(head!F$57="S355",355,IF(head!F$57="S420",420,460))))/(head!$G$31*head!$G$32*1000000)</f>
        <v>661.32742197752361</v>
      </c>
      <c r="E42" s="90">
        <f>IF(head!$F$57="S235",AD42,IF(head!$F$57="S275",AE42,IF(head!$F$57="S355",AF42,IF(head!$F$57="S420",AG42,AH42))))</f>
        <v>4</v>
      </c>
      <c r="F42" s="91">
        <v>320</v>
      </c>
      <c r="G42" s="91">
        <v>300</v>
      </c>
      <c r="H42" s="91">
        <v>8.5</v>
      </c>
      <c r="I42" s="91">
        <v>11.5</v>
      </c>
      <c r="J42" s="91">
        <v>27</v>
      </c>
      <c r="K42" s="92">
        <v>78.894689800934358</v>
      </c>
      <c r="L42" s="93">
        <v>80.402231644264319</v>
      </c>
      <c r="M42" s="93">
        <v>10050.27895553304</v>
      </c>
      <c r="N42" s="93">
        <v>1.7766460032938489</v>
      </c>
      <c r="O42" s="94">
        <v>195522889.9759635</v>
      </c>
      <c r="P42" s="93">
        <v>1222018.0623497718</v>
      </c>
      <c r="Q42" s="93">
        <v>1340923.2680972645</v>
      </c>
      <c r="R42" s="95">
        <v>139.47929572022031</v>
      </c>
      <c r="S42" s="93">
        <v>51847382.069658637</v>
      </c>
      <c r="T42" s="93">
        <v>345649.21379772422</v>
      </c>
      <c r="U42" s="93">
        <v>529298.15486040746</v>
      </c>
      <c r="V42" s="93">
        <v>71.82478888160918</v>
      </c>
      <c r="W42" s="94">
        <v>561458.51334433304</v>
      </c>
      <c r="X42" s="96">
        <v>1207766351731.02</v>
      </c>
      <c r="Y42" s="97">
        <v>3</v>
      </c>
      <c r="Z42" s="97">
        <v>3</v>
      </c>
      <c r="AA42" s="97">
        <v>3</v>
      </c>
      <c r="AB42" s="97">
        <v>3</v>
      </c>
      <c r="AC42" s="97">
        <v>4</v>
      </c>
      <c r="AD42" s="98">
        <v>3</v>
      </c>
      <c r="AE42" s="97">
        <v>3</v>
      </c>
      <c r="AF42" s="97">
        <v>4</v>
      </c>
      <c r="AG42" s="97">
        <v>4</v>
      </c>
      <c r="AH42" s="97">
        <v>4</v>
      </c>
      <c r="AI42" s="99">
        <v>176.77579012030722</v>
      </c>
      <c r="AJ42" s="100">
        <v>146.92587238893526</v>
      </c>
      <c r="AK42" s="101">
        <v>123.37965995633738</v>
      </c>
      <c r="AL42" s="102">
        <v>93.529742224965418</v>
      </c>
      <c r="AM42" s="103" t="str">
        <f t="shared" si="0"/>
        <v>HEAA 360</v>
      </c>
    </row>
    <row r="43" spans="1:39" s="104" customFormat="1">
      <c r="A43" s="86" t="s">
        <v>221</v>
      </c>
      <c r="B43" s="87">
        <f>IF(C43&lt;=2,Q43,P43)*IF(head!F$57="S235",235,IF(head!F$57="S275",275,IF(head!F$57="S355",355,IF(head!F$57="S420",420,460))))/1000000</f>
        <v>625.2030037768244</v>
      </c>
      <c r="C43" s="88">
        <f>IF(head!$F$57="S235",Y43,IF(head!$F$57="S275",Z43,IF(head!$F$57="S355",AA43,IF(head!$F$57="S420",AB43,AC43))))</f>
        <v>3</v>
      </c>
      <c r="D43" s="89">
        <f>IF(E43&lt;=2,Q43,P43)*IF(head!F$57="S235",235,IF(head!F$57="S275",275,IF(head!F$57="S355",355,IF(head!F$57="S420",420,460))))/(head!$G$31*head!$G$32*1000000)</f>
        <v>735.5329456197934</v>
      </c>
      <c r="E43" s="90">
        <f>IF(head!$F$57="S235",AD43,IF(head!$F$57="S275",AE43,IF(head!$F$57="S355",AF43,IF(head!$F$57="S420",AG43,AH43))))</f>
        <v>4</v>
      </c>
      <c r="F43" s="91">
        <v>339</v>
      </c>
      <c r="G43" s="91">
        <v>300</v>
      </c>
      <c r="H43" s="91">
        <v>9</v>
      </c>
      <c r="I43" s="91">
        <v>12</v>
      </c>
      <c r="J43" s="91">
        <v>27</v>
      </c>
      <c r="K43" s="92">
        <v>83.687114800934353</v>
      </c>
      <c r="L43" s="93">
        <v>85.286231644264319</v>
      </c>
      <c r="M43" s="93">
        <v>10660.77895553304</v>
      </c>
      <c r="N43" s="93">
        <v>1.8136460032938488</v>
      </c>
      <c r="O43" s="94">
        <v>230373715.52211246</v>
      </c>
      <c r="P43" s="93">
        <v>1359136.9647322269</v>
      </c>
      <c r="Q43" s="93">
        <v>1495242.4036970618</v>
      </c>
      <c r="R43" s="95">
        <v>147.00157709675295</v>
      </c>
      <c r="S43" s="93">
        <v>54104574.633273557</v>
      </c>
      <c r="T43" s="93">
        <v>360697.16422182374</v>
      </c>
      <c r="U43" s="93">
        <v>552968.78709929076</v>
      </c>
      <c r="V43" s="93">
        <v>71.239772546630164</v>
      </c>
      <c r="W43" s="94">
        <v>634520.07641808596</v>
      </c>
      <c r="X43" s="96">
        <v>1417122793867.4199</v>
      </c>
      <c r="Y43" s="97">
        <v>2</v>
      </c>
      <c r="Z43" s="97">
        <v>3</v>
      </c>
      <c r="AA43" s="97">
        <v>3</v>
      </c>
      <c r="AB43" s="97">
        <v>3</v>
      </c>
      <c r="AC43" s="97">
        <v>3</v>
      </c>
      <c r="AD43" s="98">
        <v>3</v>
      </c>
      <c r="AE43" s="97">
        <v>3</v>
      </c>
      <c r="AF43" s="97">
        <v>4</v>
      </c>
      <c r="AG43" s="97">
        <v>4</v>
      </c>
      <c r="AH43" s="97">
        <v>4</v>
      </c>
      <c r="AI43" s="99">
        <v>170.12321621700545</v>
      </c>
      <c r="AJ43" s="100">
        <v>141.98268340497324</v>
      </c>
      <c r="AK43" s="101">
        <v>119.87866977925722</v>
      </c>
      <c r="AL43" s="102">
        <v>91.738136967225003</v>
      </c>
      <c r="AM43" s="103" t="str">
        <f t="shared" si="0"/>
        <v>HEAA 400</v>
      </c>
    </row>
    <row r="44" spans="1:39" s="104" customFormat="1">
      <c r="A44" s="86" t="s">
        <v>222</v>
      </c>
      <c r="B44" s="87">
        <f>IF(C44&lt;=2,Q44,P44)*IF(head!F$57="S235",235,IF(head!F$57="S275",275,IF(head!F$57="S355",355,IF(head!F$57="S420",420,460))))/1000000</f>
        <v>760.63308390278689</v>
      </c>
      <c r="C44" s="88">
        <f>IF(head!$F$57="S235",Y44,IF(head!$F$57="S275",Z44,IF(head!$F$57="S355",AA44,IF(head!$F$57="S420",AB44,AC44))))</f>
        <v>3</v>
      </c>
      <c r="D44" s="89">
        <f>IF(E44&lt;=2,Q44,P44)*IF(head!F$57="S235",235,IF(head!F$57="S275",275,IF(head!F$57="S355",355,IF(head!F$57="S420",420,460))))/(head!$G$31*head!$G$32*1000000)</f>
        <v>894.86245165033745</v>
      </c>
      <c r="E44" s="90">
        <f>IF(head!$F$57="S235",AD44,IF(head!$F$57="S275",AE44,IF(head!$F$57="S355",AF44,IF(head!$F$57="S420",AG44,AH44))))</f>
        <v>4</v>
      </c>
      <c r="F44" s="91">
        <v>378</v>
      </c>
      <c r="G44" s="91">
        <v>300</v>
      </c>
      <c r="H44" s="91">
        <v>9.5</v>
      </c>
      <c r="I44" s="91">
        <v>13</v>
      </c>
      <c r="J44" s="91">
        <v>27</v>
      </c>
      <c r="K44" s="92">
        <v>92.392764800934359</v>
      </c>
      <c r="L44" s="93">
        <v>94.158231644264319</v>
      </c>
      <c r="M44" s="93">
        <v>11769.77895553304</v>
      </c>
      <c r="N44" s="93">
        <v>1.890646003293849</v>
      </c>
      <c r="O44" s="94">
        <v>312520984.47310156</v>
      </c>
      <c r="P44" s="93">
        <v>1653550.1823973628</v>
      </c>
      <c r="Q44" s="93">
        <v>1824135.0643744231</v>
      </c>
      <c r="R44" s="95">
        <v>162.95040288488991</v>
      </c>
      <c r="S44" s="93">
        <v>58613922.179674588</v>
      </c>
      <c r="T44" s="93">
        <v>390759.48119783058</v>
      </c>
      <c r="U44" s="93">
        <v>599688.48183817405</v>
      </c>
      <c r="V44" s="93">
        <v>70.569369686134934</v>
      </c>
      <c r="W44" s="94">
        <v>778472.08054003003</v>
      </c>
      <c r="X44" s="96">
        <v>1916240943522.25</v>
      </c>
      <c r="Y44" s="97">
        <v>2</v>
      </c>
      <c r="Z44" s="97">
        <v>2</v>
      </c>
      <c r="AA44" s="97">
        <v>3</v>
      </c>
      <c r="AB44" s="97">
        <v>3</v>
      </c>
      <c r="AC44" s="97">
        <v>3</v>
      </c>
      <c r="AD44" s="98">
        <v>3</v>
      </c>
      <c r="AE44" s="97">
        <v>3</v>
      </c>
      <c r="AF44" s="97">
        <v>3</v>
      </c>
      <c r="AG44" s="97">
        <v>4</v>
      </c>
      <c r="AH44" s="97">
        <v>4</v>
      </c>
      <c r="AI44" s="99">
        <v>160.63564238859774</v>
      </c>
      <c r="AJ44" s="100">
        <v>135.14663353520987</v>
      </c>
      <c r="AK44" s="101">
        <v>115.21032001731321</v>
      </c>
      <c r="AL44" s="102">
        <v>89.721311163925336</v>
      </c>
      <c r="AM44" s="103" t="str">
        <f t="shared" si="0"/>
        <v>HEAA 450</v>
      </c>
    </row>
    <row r="45" spans="1:39" s="104" customFormat="1">
      <c r="A45" s="86" t="s">
        <v>223</v>
      </c>
      <c r="B45" s="87">
        <f>IF(C45&lt;=2,Q45,P45)*IF(head!F$57="S235",235,IF(head!F$57="S275",275,IF(head!F$57="S355",355,IF(head!F$57="S420",420,460))))/1000000</f>
        <v>906.7441193921361</v>
      </c>
      <c r="C45" s="88">
        <f>IF(head!$F$57="S235",Y45,IF(head!$F$57="S275",Z45,IF(head!$F$57="S355",AA45,IF(head!$F$57="S420",AB45,AC45))))</f>
        <v>3</v>
      </c>
      <c r="D45" s="89">
        <f>IF(E45&lt;=2,Q45,P45)*IF(head!F$57="S235",235,IF(head!F$57="S275",275,IF(head!F$57="S355",355,IF(head!F$57="S420",420,460))))/(head!$G$31*head!$G$32*1000000)</f>
        <v>1066.75778752016</v>
      </c>
      <c r="E45" s="90">
        <f>IF(head!$F$57="S235",AD45,IF(head!$F$57="S275",AE45,IF(head!$F$57="S355",AF45,IF(head!$F$57="S420",AG45,AH45))))</f>
        <v>4</v>
      </c>
      <c r="F45" s="91">
        <v>425</v>
      </c>
      <c r="G45" s="91">
        <v>300</v>
      </c>
      <c r="H45" s="91">
        <v>10</v>
      </c>
      <c r="I45" s="91">
        <v>13.5</v>
      </c>
      <c r="J45" s="91">
        <v>27</v>
      </c>
      <c r="K45" s="92">
        <v>99.740364800934358</v>
      </c>
      <c r="L45" s="93">
        <v>101.64623164426432</v>
      </c>
      <c r="M45" s="93">
        <v>12705.77895553304</v>
      </c>
      <c r="N45" s="93">
        <v>1.983646003293849</v>
      </c>
      <c r="O45" s="94">
        <v>418876359.50180203</v>
      </c>
      <c r="P45" s="93">
        <v>1971182.8682437742</v>
      </c>
      <c r="Q45" s="93">
        <v>2183340.9803516828</v>
      </c>
      <c r="R45" s="95">
        <v>181.56924069726935</v>
      </c>
      <c r="S45" s="93">
        <v>60875351.531778395</v>
      </c>
      <c r="T45" s="93">
        <v>405835.67687852262</v>
      </c>
      <c r="U45" s="93">
        <v>624352.92657705722</v>
      </c>
      <c r="V45" s="93">
        <v>69.218166828350689</v>
      </c>
      <c r="W45" s="94">
        <v>881052.88124614395</v>
      </c>
      <c r="X45" s="96">
        <v>2533748736036.3701</v>
      </c>
      <c r="Y45" s="97">
        <v>1</v>
      </c>
      <c r="Z45" s="97">
        <v>2</v>
      </c>
      <c r="AA45" s="97">
        <v>3</v>
      </c>
      <c r="AB45" s="97">
        <v>3</v>
      </c>
      <c r="AC45" s="97">
        <v>3</v>
      </c>
      <c r="AD45" s="98">
        <v>3</v>
      </c>
      <c r="AE45" s="97">
        <v>3</v>
      </c>
      <c r="AF45" s="97">
        <v>3</v>
      </c>
      <c r="AG45" s="97">
        <v>3</v>
      </c>
      <c r="AH45" s="97">
        <v>4</v>
      </c>
      <c r="AI45" s="99">
        <v>156.12155777588293</v>
      </c>
      <c r="AJ45" s="100">
        <v>132.5102545216769</v>
      </c>
      <c r="AK45" s="101">
        <v>114.1212990619959</v>
      </c>
      <c r="AL45" s="102">
        <v>90.509995807789863</v>
      </c>
      <c r="AM45" s="103" t="str">
        <f t="shared" si="0"/>
        <v>HEAA 500</v>
      </c>
    </row>
    <row r="46" spans="1:39" s="104" customFormat="1">
      <c r="A46" s="86" t="s">
        <v>224</v>
      </c>
      <c r="B46" s="87">
        <f>IF(C46&lt;=2,Q46,P46)*IF(head!F$57="S235",235,IF(head!F$57="S275",275,IF(head!F$57="S355",355,IF(head!F$57="S420",420,460))))/1000000</f>
        <v>1065.0811854213698</v>
      </c>
      <c r="C46" s="88">
        <f>IF(head!$F$57="S235",Y46,IF(head!$F$57="S275",Z46,IF(head!$F$57="S355",AA46,IF(head!$F$57="S420",AB46,AC46))))</f>
        <v>3</v>
      </c>
      <c r="D46" s="89">
        <f>IF(E46&lt;=2,Q46,P46)*IF(head!F$57="S235",235,IF(head!F$57="S275",275,IF(head!F$57="S355",355,IF(head!F$57="S420",420,460))))/(head!$G$31*head!$G$32*1000000)</f>
        <v>1253.0366887310233</v>
      </c>
      <c r="E46" s="90">
        <f>IF(head!$F$57="S235",AD46,IF(head!$F$57="S275",AE46,IF(head!$F$57="S355",AF46,IF(head!$F$57="S420",AG46,AH46))))</f>
        <v>3</v>
      </c>
      <c r="F46" s="91">
        <v>472</v>
      </c>
      <c r="G46" s="91">
        <v>300</v>
      </c>
      <c r="H46" s="91">
        <v>10.5</v>
      </c>
      <c r="I46" s="91">
        <v>14</v>
      </c>
      <c r="J46" s="91">
        <v>27</v>
      </c>
      <c r="K46" s="92">
        <v>107.44906480093437</v>
      </c>
      <c r="L46" s="93">
        <v>109.50223164426433</v>
      </c>
      <c r="M46" s="93">
        <v>13687.77895553304</v>
      </c>
      <c r="N46" s="93">
        <v>2.076646003293849</v>
      </c>
      <c r="O46" s="94">
        <v>546432955.99878979</v>
      </c>
      <c r="P46" s="93">
        <v>2315393.8813508041</v>
      </c>
      <c r="Q46" s="93">
        <v>2576230.8963289429</v>
      </c>
      <c r="R46" s="95">
        <v>199.80297505358723</v>
      </c>
      <c r="S46" s="93">
        <v>63138507.564584978</v>
      </c>
      <c r="T46" s="93">
        <v>420923.38376389985</v>
      </c>
      <c r="U46" s="93">
        <v>649297.12131594052</v>
      </c>
      <c r="V46" s="93">
        <v>67.917339395462264</v>
      </c>
      <c r="W46" s="94">
        <v>995096.25214866584</v>
      </c>
      <c r="X46" s="96">
        <v>3259626459819.6499</v>
      </c>
      <c r="Y46" s="97">
        <v>1</v>
      </c>
      <c r="Z46" s="97">
        <v>2</v>
      </c>
      <c r="AA46" s="97">
        <v>3</v>
      </c>
      <c r="AB46" s="97">
        <v>3</v>
      </c>
      <c r="AC46" s="97">
        <v>3</v>
      </c>
      <c r="AD46" s="98">
        <v>2</v>
      </c>
      <c r="AE46" s="97">
        <v>3</v>
      </c>
      <c r="AF46" s="97">
        <v>3</v>
      </c>
      <c r="AG46" s="97">
        <v>3</v>
      </c>
      <c r="AH46" s="97">
        <v>3</v>
      </c>
      <c r="AI46" s="99">
        <v>151.71533745833921</v>
      </c>
      <c r="AJ46" s="100">
        <v>129.79797592184752</v>
      </c>
      <c r="AK46" s="101">
        <v>112.80135404114381</v>
      </c>
      <c r="AL46" s="102">
        <v>90.883992504652142</v>
      </c>
      <c r="AM46" s="103" t="str">
        <f t="shared" si="0"/>
        <v>HEAA 550</v>
      </c>
    </row>
    <row r="47" spans="1:39" s="104" customFormat="1">
      <c r="A47" s="86" t="s">
        <v>225</v>
      </c>
      <c r="B47" s="87">
        <f>IF(C47&lt;=2,Q47,P47)*IF(head!F$57="S235",235,IF(head!F$57="S275",275,IF(head!F$57="S355",355,IF(head!F$57="S420",420,460))))/1000000</f>
        <v>1284.3231577871431</v>
      </c>
      <c r="C47" s="88">
        <f>IF(head!$F$57="S235",Y47,IF(head!$F$57="S275",Z47,IF(head!$F$57="S355",AA47,IF(head!$F$57="S420",AB47,AC47))))</f>
        <v>3</v>
      </c>
      <c r="D47" s="89">
        <f>IF(E47&lt;=2,Q47,P47)*IF(head!F$57="S235",235,IF(head!F$57="S275",275,IF(head!F$57="S355",355,IF(head!F$57="S420",420,460))))/(head!$G$31*head!$G$32*1000000)</f>
        <v>1510.9684209260508</v>
      </c>
      <c r="E47" s="90">
        <f>IF(head!$F$57="S235",AD47,IF(head!$F$57="S275",AE47,IF(head!$F$57="S355",AF47,IF(head!$F$57="S420",AG47,AH47))))</f>
        <v>3</v>
      </c>
      <c r="F47" s="91">
        <v>522</v>
      </c>
      <c r="G47" s="91">
        <v>300</v>
      </c>
      <c r="H47" s="91">
        <v>11.5</v>
      </c>
      <c r="I47" s="91">
        <v>15</v>
      </c>
      <c r="J47" s="91">
        <v>27</v>
      </c>
      <c r="K47" s="92">
        <v>119.97766480093436</v>
      </c>
      <c r="L47" s="93">
        <v>122.27023164426433</v>
      </c>
      <c r="M47" s="93">
        <v>15283.77895553304</v>
      </c>
      <c r="N47" s="93">
        <v>2.1746460032938488</v>
      </c>
      <c r="O47" s="94">
        <v>728713791.700966</v>
      </c>
      <c r="P47" s="93">
        <v>2792006.8647546591</v>
      </c>
      <c r="Q47" s="93">
        <v>3127601.5912617357</v>
      </c>
      <c r="R47" s="95">
        <v>218.3549896882235</v>
      </c>
      <c r="S47" s="93">
        <v>67665247.130639806</v>
      </c>
      <c r="T47" s="93">
        <v>451101.64753759874</v>
      </c>
      <c r="U47" s="93">
        <v>698639.0107937071</v>
      </c>
      <c r="V47" s="93">
        <v>66.537650600081761</v>
      </c>
      <c r="W47" s="94">
        <v>1239224.6510231399</v>
      </c>
      <c r="X47" s="96">
        <v>4284096803992.75</v>
      </c>
      <c r="Y47" s="97">
        <v>1</v>
      </c>
      <c r="Z47" s="97">
        <v>1</v>
      </c>
      <c r="AA47" s="97">
        <v>2</v>
      </c>
      <c r="AB47" s="97">
        <v>3</v>
      </c>
      <c r="AC47" s="97">
        <v>3</v>
      </c>
      <c r="AD47" s="98">
        <v>2</v>
      </c>
      <c r="AE47" s="97">
        <v>2</v>
      </c>
      <c r="AF47" s="97">
        <v>3</v>
      </c>
      <c r="AG47" s="97">
        <v>3</v>
      </c>
      <c r="AH47" s="97">
        <v>3</v>
      </c>
      <c r="AI47" s="99">
        <v>142.28457566815194</v>
      </c>
      <c r="AJ47" s="100">
        <v>122.65592225247335</v>
      </c>
      <c r="AK47" s="101">
        <v>107.56502071791861</v>
      </c>
      <c r="AL47" s="102">
        <v>87.936367302240043</v>
      </c>
      <c r="AM47" s="103" t="str">
        <f t="shared" si="0"/>
        <v>HEAA 600</v>
      </c>
    </row>
    <row r="48" spans="1:39" s="104" customFormat="1">
      <c r="A48" s="86" t="s">
        <v>226</v>
      </c>
      <c r="B48" s="87">
        <f>IF(C48&lt;=2,Q48,P48)*IF(head!F$57="S235",235,IF(head!F$57="S275",275,IF(head!F$57="S355",355,IF(head!F$57="S420",420,460))))/1000000</f>
        <v>1480.2483941490773</v>
      </c>
      <c r="C48" s="88">
        <f>IF(head!$F$57="S235",Y48,IF(head!$F$57="S275",Z48,IF(head!$F$57="S355",AA48,IF(head!$F$57="S420",AB48,AC48))))</f>
        <v>3</v>
      </c>
      <c r="D48" s="89">
        <f>IF(E48&lt;=2,Q48,P48)*IF(head!F$57="S235",235,IF(head!F$57="S275",275,IF(head!F$57="S355",355,IF(head!F$57="S420",420,460))))/(head!$G$31*head!$G$32*1000000)</f>
        <v>1741.4686989989143</v>
      </c>
      <c r="E48" s="90">
        <f>IF(head!$F$57="S235",AD48,IF(head!$F$57="S275",AE48,IF(head!$F$57="S355",AF48,IF(head!$F$57="S420",AG48,AH48))))</f>
        <v>3</v>
      </c>
      <c r="F48" s="91">
        <v>571</v>
      </c>
      <c r="G48" s="91">
        <v>300</v>
      </c>
      <c r="H48" s="91">
        <v>12</v>
      </c>
      <c r="I48" s="91">
        <v>15.5</v>
      </c>
      <c r="J48" s="91">
        <v>27</v>
      </c>
      <c r="K48" s="92">
        <v>128.78536480093436</v>
      </c>
      <c r="L48" s="93">
        <v>131.24623164426433</v>
      </c>
      <c r="M48" s="93">
        <v>16405.778955533042</v>
      </c>
      <c r="N48" s="93">
        <v>2.2716460032938488</v>
      </c>
      <c r="O48" s="94">
        <v>918719383.75991642</v>
      </c>
      <c r="P48" s="93">
        <v>3217931.2916284287</v>
      </c>
      <c r="Q48" s="93">
        <v>3623061.2861945289</v>
      </c>
      <c r="R48" s="95">
        <v>236.64264554732159</v>
      </c>
      <c r="S48" s="93">
        <v>69934376.49722138</v>
      </c>
      <c r="T48" s="93">
        <v>466229.17664814251</v>
      </c>
      <c r="U48" s="93">
        <v>724468.70553259028</v>
      </c>
      <c r="V48" s="93">
        <v>65.290038658790351</v>
      </c>
      <c r="W48" s="94">
        <v>1391834.09152931</v>
      </c>
      <c r="X48" s="96">
        <v>5319967100424.9502</v>
      </c>
      <c r="Y48" s="97">
        <v>1</v>
      </c>
      <c r="Z48" s="97">
        <v>1</v>
      </c>
      <c r="AA48" s="97">
        <v>2</v>
      </c>
      <c r="AB48" s="97">
        <v>3</v>
      </c>
      <c r="AC48" s="97">
        <v>3</v>
      </c>
      <c r="AD48" s="98">
        <v>1</v>
      </c>
      <c r="AE48" s="97">
        <v>2</v>
      </c>
      <c r="AF48" s="97">
        <v>3</v>
      </c>
      <c r="AG48" s="97">
        <v>3</v>
      </c>
      <c r="AH48" s="97">
        <v>3</v>
      </c>
      <c r="AI48" s="99">
        <v>138.46620812404092</v>
      </c>
      <c r="AJ48" s="100">
        <v>120.17996881695692</v>
      </c>
      <c r="AK48" s="101">
        <v>106.1820962431345</v>
      </c>
      <c r="AL48" s="102">
        <v>87.895856936050478</v>
      </c>
      <c r="AM48" s="103" t="str">
        <f t="shared" si="0"/>
        <v>HEAA 650</v>
      </c>
    </row>
    <row r="49" spans="1:39" s="104" customFormat="1">
      <c r="A49" s="86" t="s">
        <v>227</v>
      </c>
      <c r="B49" s="87">
        <f>IF(C49&lt;=2,Q49,P49)*IF(head!F$57="S235",235,IF(head!F$57="S275",275,IF(head!F$57="S355",355,IF(head!F$57="S420",420,460))))/1000000</f>
        <v>1690.7832697444992</v>
      </c>
      <c r="C49" s="88">
        <f>IF(head!$F$57="S235",Y49,IF(head!$F$57="S275",Z49,IF(head!$F$57="S355",AA49,IF(head!$F$57="S420",AB49,AC49))))</f>
        <v>3</v>
      </c>
      <c r="D49" s="89">
        <f>IF(E49&lt;=2,Q49,P49)*IF(head!F$57="S235",235,IF(head!F$57="S275",275,IF(head!F$57="S355",355,IF(head!F$57="S420",420,460))))/(head!$G$31*head!$G$32*1000000)</f>
        <v>1989.1567879347049</v>
      </c>
      <c r="E49" s="90">
        <f>IF(head!$F$57="S235",AD49,IF(head!$F$57="S275",AE49,IF(head!$F$57="S355",AF49,IF(head!$F$57="S420",AG49,AH49))))</f>
        <v>3</v>
      </c>
      <c r="F49" s="91">
        <v>620</v>
      </c>
      <c r="G49" s="91">
        <v>300</v>
      </c>
      <c r="H49" s="91">
        <v>12.5</v>
      </c>
      <c r="I49" s="91">
        <v>16</v>
      </c>
      <c r="J49" s="91">
        <v>27</v>
      </c>
      <c r="K49" s="92">
        <v>137.96986480093437</v>
      </c>
      <c r="L49" s="93">
        <v>140.60623164426434</v>
      </c>
      <c r="M49" s="93">
        <v>17575.778955533042</v>
      </c>
      <c r="N49" s="93">
        <v>2.3686460032938488</v>
      </c>
      <c r="O49" s="94">
        <v>1139440899.1756408</v>
      </c>
      <c r="P49" s="93">
        <v>3675615.8037923896</v>
      </c>
      <c r="Q49" s="93">
        <v>4159854.9811273213</v>
      </c>
      <c r="R49" s="95">
        <v>254.61771186391098</v>
      </c>
      <c r="S49" s="93">
        <v>72206123.086172402</v>
      </c>
      <c r="T49" s="93">
        <v>481374.15390781598</v>
      </c>
      <c r="U49" s="93">
        <v>750653.90027147357</v>
      </c>
      <c r="V49" s="93">
        <v>64.095822169007462</v>
      </c>
      <c r="W49" s="94">
        <v>1560138.70142991</v>
      </c>
      <c r="X49" s="96">
        <v>6498213321979.6299</v>
      </c>
      <c r="Y49" s="97">
        <v>1</v>
      </c>
      <c r="Z49" s="97">
        <v>1</v>
      </c>
      <c r="AA49" s="97">
        <v>1</v>
      </c>
      <c r="AB49" s="97">
        <v>2</v>
      </c>
      <c r="AC49" s="97">
        <v>3</v>
      </c>
      <c r="AD49" s="98">
        <v>1</v>
      </c>
      <c r="AE49" s="97">
        <v>2</v>
      </c>
      <c r="AF49" s="97">
        <v>3</v>
      </c>
      <c r="AG49" s="97">
        <v>3</v>
      </c>
      <c r="AH49" s="97">
        <v>3</v>
      </c>
      <c r="AI49" s="99">
        <v>134.76762590645657</v>
      </c>
      <c r="AJ49" s="100">
        <v>117.69868115248555</v>
      </c>
      <c r="AK49" s="101">
        <v>104.68952782435561</v>
      </c>
      <c r="AL49" s="102">
        <v>87.620583070384569</v>
      </c>
      <c r="AM49" s="103" t="str">
        <f t="shared" si="0"/>
        <v>HEAA 700</v>
      </c>
    </row>
    <row r="50" spans="1:39" s="104" customFormat="1">
      <c r="A50" s="86" t="s">
        <v>228</v>
      </c>
      <c r="B50" s="87">
        <f>IF(C50&lt;=2,Q50,P50)*IF(head!F$57="S235",235,IF(head!F$57="S275",275,IF(head!F$57="S355",355,IF(head!F$57="S420",420,460))))/1000000</f>
        <v>2226.4624109876527</v>
      </c>
      <c r="C50" s="88">
        <f>IF(head!$F$57="S235",Y50,IF(head!$F$57="S275",Z50,IF(head!$F$57="S355",AA50,IF(head!$F$57="S420",AB50,AC50))))</f>
        <v>2</v>
      </c>
      <c r="D50" s="89">
        <f>IF(E50&lt;=2,Q50,P50)*IF(head!F$57="S235",235,IF(head!F$57="S275",275,IF(head!F$57="S355",355,IF(head!F$57="S420",420,460))))/(head!$G$31*head!$G$32*1000000)</f>
        <v>2305.5832141743426</v>
      </c>
      <c r="E50" s="90">
        <f>IF(head!$F$57="S235",AD50,IF(head!$F$57="S275",AE50,IF(head!$F$57="S355",AF50,IF(head!$F$57="S420",AG50,AH50))))</f>
        <v>3</v>
      </c>
      <c r="F50" s="91">
        <v>670</v>
      </c>
      <c r="G50" s="91">
        <v>300</v>
      </c>
      <c r="H50" s="91">
        <v>13</v>
      </c>
      <c r="I50" s="91">
        <v>17</v>
      </c>
      <c r="J50" s="91">
        <v>27</v>
      </c>
      <c r="K50" s="92">
        <v>149.88616480093438</v>
      </c>
      <c r="L50" s="93">
        <v>152.75023164426435</v>
      </c>
      <c r="M50" s="93">
        <v>19093.778955533042</v>
      </c>
      <c r="N50" s="93">
        <v>2.467646003293849</v>
      </c>
      <c r="O50" s="94">
        <v>1427206130.9481392</v>
      </c>
      <c r="P50" s="93">
        <v>4260316.8088004151</v>
      </c>
      <c r="Q50" s="93">
        <v>4840135.676060115</v>
      </c>
      <c r="R50" s="95">
        <v>273.39930490095395</v>
      </c>
      <c r="S50" s="93">
        <v>76730742.647492856</v>
      </c>
      <c r="T50" s="93">
        <v>511538.28431661904</v>
      </c>
      <c r="U50" s="93">
        <v>799712.59501035686</v>
      </c>
      <c r="V50" s="93">
        <v>63.392627898971554</v>
      </c>
      <c r="W50" s="94">
        <v>1841383.2830011901</v>
      </c>
      <c r="X50" s="96">
        <v>8076461388259.8604</v>
      </c>
      <c r="Y50" s="97">
        <v>1</v>
      </c>
      <c r="Z50" s="97">
        <v>1</v>
      </c>
      <c r="AA50" s="97">
        <v>1</v>
      </c>
      <c r="AB50" s="97">
        <v>2</v>
      </c>
      <c r="AC50" s="97">
        <v>2</v>
      </c>
      <c r="AD50" s="98">
        <v>1</v>
      </c>
      <c r="AE50" s="97">
        <v>1</v>
      </c>
      <c r="AF50" s="97">
        <v>2</v>
      </c>
      <c r="AG50" s="97">
        <v>3</v>
      </c>
      <c r="AH50" s="97">
        <v>3</v>
      </c>
      <c r="AI50" s="99">
        <v>129.23821989563615</v>
      </c>
      <c r="AJ50" s="100">
        <v>113.52629609581309</v>
      </c>
      <c r="AK50" s="101">
        <v>101.60377390552236</v>
      </c>
      <c r="AL50" s="102">
        <v>85.891850105699319</v>
      </c>
      <c r="AM50" s="103" t="str">
        <f t="shared" si="0"/>
        <v>HEAA 800</v>
      </c>
    </row>
    <row r="51" spans="1:39" s="104" customFormat="1">
      <c r="A51" s="86" t="s">
        <v>229</v>
      </c>
      <c r="B51" s="87">
        <f>IF(C51&lt;=2,Q51,P51)*IF(head!F$57="S235",235,IF(head!F$57="S275",275,IF(head!F$57="S355",355,IF(head!F$57="S420",420,460))))/1000000</f>
        <v>2863.4084361564592</v>
      </c>
      <c r="C51" s="88">
        <f>IF(head!$F$57="S235",Y51,IF(head!$F$57="S275",Z51,IF(head!$F$57="S355",AA51,IF(head!$F$57="S420",AB51,AC51))))</f>
        <v>1</v>
      </c>
      <c r="D51" s="89">
        <f>IF(E51&lt;=2,Q51,P51)*IF(head!F$57="S235",235,IF(head!F$57="S275",275,IF(head!F$57="S355",355,IF(head!F$57="S420",420,460))))/(head!$G$31*head!$G$32*1000000)</f>
        <v>2936.1600627116222</v>
      </c>
      <c r="E51" s="90">
        <f>IF(head!$F$57="S235",AD51,IF(head!$F$57="S275",AE51,IF(head!$F$57="S355",AF51,IF(head!$F$57="S420",AG51,AH51))))</f>
        <v>3</v>
      </c>
      <c r="F51" s="91">
        <v>770</v>
      </c>
      <c r="G51" s="91">
        <v>300</v>
      </c>
      <c r="H51" s="91">
        <v>14</v>
      </c>
      <c r="I51" s="91">
        <v>18</v>
      </c>
      <c r="J51" s="91">
        <v>30</v>
      </c>
      <c r="K51" s="92">
        <v>171.51124790238813</v>
      </c>
      <c r="L51" s="93">
        <v>174.78853289415352</v>
      </c>
      <c r="M51" s="93">
        <v>21848.566611769187</v>
      </c>
      <c r="N51" s="93">
        <v>2.6604955592153874</v>
      </c>
      <c r="O51" s="94">
        <v>2088822566.3529961</v>
      </c>
      <c r="P51" s="93">
        <v>5425513.1593584316</v>
      </c>
      <c r="Q51" s="93">
        <v>6224800.9481662158</v>
      </c>
      <c r="R51" s="95">
        <v>309.19986832496699</v>
      </c>
      <c r="S51" s="93">
        <v>81337312.512493417</v>
      </c>
      <c r="T51" s="93">
        <v>542248.75008328946</v>
      </c>
      <c r="U51" s="93">
        <v>856550.96463545994</v>
      </c>
      <c r="V51" s="93">
        <v>61.014553050870369</v>
      </c>
      <c r="W51" s="94">
        <v>2394068.8640201702</v>
      </c>
      <c r="X51" s="96">
        <v>11341580859529.6</v>
      </c>
      <c r="Y51" s="97">
        <v>1</v>
      </c>
      <c r="Z51" s="97">
        <v>1</v>
      </c>
      <c r="AA51" s="97">
        <v>1</v>
      </c>
      <c r="AB51" s="97">
        <v>1</v>
      </c>
      <c r="AC51" s="97">
        <v>1</v>
      </c>
      <c r="AD51" s="98">
        <v>1</v>
      </c>
      <c r="AE51" s="97">
        <v>1</v>
      </c>
      <c r="AF51" s="97">
        <v>2</v>
      </c>
      <c r="AG51" s="97">
        <v>2</v>
      </c>
      <c r="AH51" s="97">
        <v>3</v>
      </c>
      <c r="AI51" s="99">
        <v>121.76979874653451</v>
      </c>
      <c r="AJ51" s="100">
        <v>108.03892086650011</v>
      </c>
      <c r="AK51" s="101">
        <v>97.946928877578827</v>
      </c>
      <c r="AL51" s="102">
        <v>84.216050997544414</v>
      </c>
      <c r="AM51" s="103" t="str">
        <f t="shared" si="0"/>
        <v>HEAA 900</v>
      </c>
    </row>
    <row r="52" spans="1:39" s="104" customFormat="1">
      <c r="A52" s="86" t="s">
        <v>230</v>
      </c>
      <c r="B52" s="87">
        <f>IF(C52&lt;=2,Q52,P52)*IF(head!F$57="S235",235,IF(head!F$57="S275",275,IF(head!F$57="S355",355,IF(head!F$57="S420",420,460))))/1000000</f>
        <v>3679.4540469443232</v>
      </c>
      <c r="C52" s="88">
        <f>IF(head!$F$57="S235",Y52,IF(head!$F$57="S275",Z52,IF(head!$F$57="S355",AA52,IF(head!$F$57="S420",AB52,AC52))))</f>
        <v>1</v>
      </c>
      <c r="D52" s="89">
        <f>IF(E52&lt;=2,Q52,P52)*IF(head!F$57="S235",235,IF(head!F$57="S275",275,IF(head!F$57="S355",355,IF(head!F$57="S420",420,460))))/(head!$G$31*head!$G$32*1000000)</f>
        <v>3746.4978531923798</v>
      </c>
      <c r="E52" s="90">
        <f>IF(head!$F$57="S235",AD52,IF(head!$F$57="S275",AE52,IF(head!$F$57="S355",AF52,IF(head!$F$57="S420",AG52,AH52))))</f>
        <v>3</v>
      </c>
      <c r="F52" s="91">
        <v>870</v>
      </c>
      <c r="G52" s="91">
        <v>300</v>
      </c>
      <c r="H52" s="91">
        <v>15</v>
      </c>
      <c r="I52" s="91">
        <v>20</v>
      </c>
      <c r="J52" s="91">
        <v>30</v>
      </c>
      <c r="K52" s="92">
        <v>197.99714790238812</v>
      </c>
      <c r="L52" s="93">
        <v>201.78053289415351</v>
      </c>
      <c r="M52" s="93">
        <v>25222.566611769187</v>
      </c>
      <c r="N52" s="93">
        <v>2.8584955592153873</v>
      </c>
      <c r="O52" s="94">
        <v>3011451263.5171356</v>
      </c>
      <c r="P52" s="93">
        <v>6922876.4678554842</v>
      </c>
      <c r="Q52" s="93">
        <v>7998813.1455311375</v>
      </c>
      <c r="R52" s="95">
        <v>345.53598348727326</v>
      </c>
      <c r="S52" s="93">
        <v>90413686.785448492</v>
      </c>
      <c r="T52" s="93">
        <v>602757.91190298996</v>
      </c>
      <c r="U52" s="93">
        <v>957658.74794134451</v>
      </c>
      <c r="V52" s="93">
        <v>59.871818676950532</v>
      </c>
      <c r="W52" s="94">
        <v>3188272.2121526301</v>
      </c>
      <c r="X52" s="96">
        <v>16120101120271</v>
      </c>
      <c r="Y52" s="97">
        <v>1</v>
      </c>
      <c r="Z52" s="97">
        <v>1</v>
      </c>
      <c r="AA52" s="97">
        <v>1</v>
      </c>
      <c r="AB52" s="97">
        <v>1</v>
      </c>
      <c r="AC52" s="97">
        <v>1</v>
      </c>
      <c r="AD52" s="98">
        <v>1</v>
      </c>
      <c r="AE52" s="97">
        <v>1</v>
      </c>
      <c r="AF52" s="97">
        <v>2</v>
      </c>
      <c r="AG52" s="97">
        <v>2</v>
      </c>
      <c r="AH52" s="97">
        <v>3</v>
      </c>
      <c r="AI52" s="99">
        <v>113.33087560889125</v>
      </c>
      <c r="AJ52" s="100">
        <v>101.43676488583677</v>
      </c>
      <c r="AK52" s="101">
        <v>92.774063639825002</v>
      </c>
      <c r="AL52" s="102">
        <v>80.87995291677052</v>
      </c>
      <c r="AM52" s="103" t="str">
        <f t="shared" si="0"/>
        <v>HEAA 1000</v>
      </c>
    </row>
    <row r="53" spans="1:39" s="104" customFormat="1">
      <c r="A53" s="86" t="s">
        <v>231</v>
      </c>
      <c r="B53" s="87">
        <f>IF(C53&lt;=2,Q53,P53)*IF(head!F$57="S235",235,IF(head!F$57="S275",275,IF(head!F$57="S355",355,IF(head!F$57="S420",420,460))))/1000000</f>
        <v>4497.2957583736006</v>
      </c>
      <c r="C53" s="88">
        <f>IF(head!$F$57="S235",Y53,IF(head!$F$57="S275",Z53,IF(head!$F$57="S355",AA53,IF(head!$F$57="S420",AB53,AC53))))</f>
        <v>2</v>
      </c>
      <c r="D53" s="89">
        <f>IF(E53&lt;=2,Q53,P53)*IF(head!F$57="S235",235,IF(head!F$57="S275",275,IF(head!F$57="S355",355,IF(head!F$57="S420",420,460))))/(head!$G$31*head!$G$32*1000000)</f>
        <v>4535.2967777605672</v>
      </c>
      <c r="E53" s="90">
        <f>IF(head!$F$57="S235",AD53,IF(head!$F$57="S275",AE53,IF(head!$F$57="S355",AF53,IF(head!$F$57="S420",AG53,AH53))))</f>
        <v>3</v>
      </c>
      <c r="F53" s="91">
        <v>970</v>
      </c>
      <c r="G53" s="91">
        <v>300</v>
      </c>
      <c r="H53" s="91">
        <v>16</v>
      </c>
      <c r="I53" s="91">
        <v>21</v>
      </c>
      <c r="J53" s="91">
        <v>30</v>
      </c>
      <c r="K53" s="92">
        <v>221.53144790238812</v>
      </c>
      <c r="L53" s="93">
        <v>225.76453289415352</v>
      </c>
      <c r="M53" s="93">
        <v>28220.566611769187</v>
      </c>
      <c r="N53" s="93">
        <v>3.0564955592153873</v>
      </c>
      <c r="O53" s="94">
        <v>4064513253.5473781</v>
      </c>
      <c r="P53" s="93">
        <v>8380439.6980358306</v>
      </c>
      <c r="Q53" s="93">
        <v>9776729.9095078278</v>
      </c>
      <c r="R53" s="95">
        <v>379.50841260244857</v>
      </c>
      <c r="S53" s="93">
        <v>95008171.008376107</v>
      </c>
      <c r="T53" s="93">
        <v>633387.80672250735</v>
      </c>
      <c r="U53" s="93">
        <v>1015749.5312472291</v>
      </c>
      <c r="V53" s="93">
        <v>58.022657246676751</v>
      </c>
      <c r="W53" s="94">
        <v>3844886.7003632095</v>
      </c>
      <c r="X53" s="96">
        <v>21121559449220.801</v>
      </c>
      <c r="Y53" s="97">
        <v>1</v>
      </c>
      <c r="Z53" s="97">
        <v>1</v>
      </c>
      <c r="AA53" s="97">
        <v>1</v>
      </c>
      <c r="AB53" s="97">
        <v>2</v>
      </c>
      <c r="AC53" s="97">
        <v>2</v>
      </c>
      <c r="AD53" s="98">
        <v>1</v>
      </c>
      <c r="AE53" s="97">
        <v>1</v>
      </c>
      <c r="AF53" s="97">
        <v>2</v>
      </c>
      <c r="AG53" s="97">
        <v>3</v>
      </c>
      <c r="AH53" s="97">
        <v>3</v>
      </c>
      <c r="AI53" s="99">
        <v>108.30737742667071</v>
      </c>
      <c r="AJ53" s="100">
        <v>97.676832543320032</v>
      </c>
      <c r="AK53" s="101">
        <v>90.005280012369099</v>
      </c>
      <c r="AL53" s="102">
        <v>79.374735129018418</v>
      </c>
      <c r="AM53" s="103" t="s">
        <v>49</v>
      </c>
    </row>
    <row r="54" spans="1:39">
      <c r="A54" s="40" t="s">
        <v>22</v>
      </c>
      <c r="B54" s="32">
        <v>0</v>
      </c>
      <c r="C54" s="57" t="s">
        <v>63</v>
      </c>
      <c r="D54" s="53" t="s">
        <v>63</v>
      </c>
      <c r="E54" s="58" t="s">
        <v>63</v>
      </c>
      <c r="F54" s="41" t="s">
        <v>60</v>
      </c>
      <c r="G54" s="41"/>
      <c r="H54" s="41"/>
      <c r="I54" s="41"/>
      <c r="J54" s="41"/>
      <c r="K54" s="42"/>
      <c r="L54" s="43"/>
      <c r="M54" s="43"/>
      <c r="N54" s="43"/>
      <c r="O54" s="44"/>
      <c r="P54" s="43"/>
      <c r="Q54" s="43"/>
      <c r="R54" s="45"/>
      <c r="S54" s="43"/>
      <c r="T54" s="43"/>
      <c r="U54" s="43"/>
      <c r="V54" s="43"/>
      <c r="W54" s="44"/>
      <c r="X54" s="46"/>
      <c r="Y54" s="64"/>
      <c r="Z54" s="64"/>
      <c r="AA54" s="64"/>
      <c r="AB54" s="64"/>
      <c r="AC54" s="64"/>
      <c r="AD54" s="65"/>
      <c r="AE54" s="64"/>
      <c r="AF54" s="64"/>
      <c r="AG54" s="64"/>
      <c r="AH54" s="64"/>
      <c r="AI54" s="36"/>
      <c r="AJ54" s="47"/>
      <c r="AK54" s="48"/>
      <c r="AL54" s="49"/>
      <c r="AM54" s="35" t="str">
        <f t="shared" ref="AM54:AM77" si="5">A55</f>
        <v>HEB 100</v>
      </c>
    </row>
    <row r="55" spans="1:39">
      <c r="A55" s="40" t="s">
        <v>86</v>
      </c>
      <c r="B55" s="32">
        <f>IF(C55&lt;=2,Q55,P55)*IF(head!F$57="S235",235,IF(head!F$57="S275",275,IF(head!F$57="S355",355,IF(head!F$57="S420",420,460))))/1000000</f>
        <v>47.938025273533938</v>
      </c>
      <c r="C55" s="57">
        <f>IF(head!$F$57="S235",Y55,IF(head!$F$57="S275",Z55,IF(head!$F$57="S355",AA55,IF(head!$F$57="S420",AB55,AC55))))</f>
        <v>1</v>
      </c>
      <c r="D55" s="53">
        <f>IF(E55&lt;=2,Q55,P55)*IF(head!F$57="S235",235,IF(head!F$57="S275",275,IF(head!F$57="S355",355,IF(head!F$57="S420",420,460))))/(head!$G$31*head!$G$32*1000000)</f>
        <v>56.397676792392872</v>
      </c>
      <c r="E55" s="58">
        <f>IF(head!$F$57="S235",AD55,IF(head!$F$57="S275",AE55,IF(head!$F$57="S355",AF55,IF(head!$F$57="S420",AG55,AH55))))</f>
        <v>1</v>
      </c>
      <c r="F55" s="41">
        <v>100</v>
      </c>
      <c r="G55" s="41">
        <v>100</v>
      </c>
      <c r="H55" s="41">
        <v>6</v>
      </c>
      <c r="I55" s="41">
        <v>10</v>
      </c>
      <c r="J55" s="41">
        <v>12</v>
      </c>
      <c r="K55" s="42">
        <v>20.438343664382099</v>
      </c>
      <c r="L55" s="43">
        <v>20.82888526306456</v>
      </c>
      <c r="M55" s="43">
        <v>2603.61065788307</v>
      </c>
      <c r="N55" s="43">
        <v>0.567398223686155</v>
      </c>
      <c r="O55" s="44">
        <v>4495451.4061307833</v>
      </c>
      <c r="P55" s="43">
        <v>89909.028122615666</v>
      </c>
      <c r="Q55" s="43">
        <v>104213.09842072596</v>
      </c>
      <c r="R55" s="45">
        <v>41.552641149252437</v>
      </c>
      <c r="S55" s="43">
        <v>1672721.0483741476</v>
      </c>
      <c r="T55" s="43">
        <v>33454.420967482954</v>
      </c>
      <c r="U55" s="43">
        <v>51422.159868246046</v>
      </c>
      <c r="V55" s="43">
        <v>25.34683516656052</v>
      </c>
      <c r="W55" s="44">
        <v>93105.470512685395</v>
      </c>
      <c r="X55" s="46">
        <v>3232357756.0934</v>
      </c>
      <c r="Y55" s="64">
        <v>1</v>
      </c>
      <c r="Z55" s="64">
        <v>1</v>
      </c>
      <c r="AA55" s="64">
        <v>1</v>
      </c>
      <c r="AB55" s="64">
        <v>1</v>
      </c>
      <c r="AC55" s="64">
        <v>1</v>
      </c>
      <c r="AD55" s="65">
        <v>1</v>
      </c>
      <c r="AE55" s="64">
        <v>1</v>
      </c>
      <c r="AF55" s="64">
        <v>1</v>
      </c>
      <c r="AG55" s="64">
        <v>1</v>
      </c>
      <c r="AH55" s="64">
        <v>1</v>
      </c>
      <c r="AI55" s="36">
        <f t="shared" ref="AI55:AI78" si="6">N55/M55*1000000</f>
        <v>217.92744701217813</v>
      </c>
      <c r="AJ55" s="47">
        <f t="shared" ref="AJ55:AJ78" si="7">(N55*1000-G55)/M55*1000</f>
        <v>179.51924657820561</v>
      </c>
      <c r="AK55" s="48">
        <f t="shared" ref="AK55:AK103" si="8">2*(F55+G55)/M55*1000</f>
        <v>153.6328017358901</v>
      </c>
      <c r="AL55" s="49">
        <f t="shared" ref="AL55:AL78" si="9">(2*F55+G55)/M55*1000</f>
        <v>115.22460130191756</v>
      </c>
      <c r="AM55" s="35" t="str">
        <f t="shared" si="5"/>
        <v>HEB 120</v>
      </c>
    </row>
    <row r="56" spans="1:39">
      <c r="A56" s="40" t="s">
        <v>87</v>
      </c>
      <c r="B56" s="32">
        <f>IF(C56&lt;=2,Q56,P56)*IF(head!F$57="S235",235,IF(head!F$57="S275",275,IF(head!F$57="S355",355,IF(head!F$57="S420",420,460))))/1000000</f>
        <v>75.997563397169841</v>
      </c>
      <c r="C56" s="57">
        <f>IF(head!$F$57="S235",Y56,IF(head!$F$57="S275",Z56,IF(head!$F$57="S355",AA56,IF(head!$F$57="S420",AB56,AC56))))</f>
        <v>1</v>
      </c>
      <c r="D56" s="53">
        <f>IF(E56&lt;=2,Q56,P56)*IF(head!F$57="S235",235,IF(head!F$57="S275",275,IF(head!F$57="S355",355,IF(head!F$57="S420",420,460))))/(head!$G$31*head!$G$32*1000000)</f>
        <v>89.408898114317466</v>
      </c>
      <c r="E56" s="58">
        <f>IF(head!$F$57="S235",AD56,IF(head!$F$57="S275",AE56,IF(head!$F$57="S355",AF56,IF(head!$F$57="S420",AG56,AH56))))</f>
        <v>1</v>
      </c>
      <c r="F56" s="41">
        <v>120</v>
      </c>
      <c r="G56" s="41">
        <v>120</v>
      </c>
      <c r="H56" s="41">
        <v>6.5</v>
      </c>
      <c r="I56" s="41">
        <v>11</v>
      </c>
      <c r="J56" s="41">
        <v>12</v>
      </c>
      <c r="K56" s="42">
        <v>26.6947936643821</v>
      </c>
      <c r="L56" s="43">
        <v>27.204885263064561</v>
      </c>
      <c r="M56" s="43">
        <v>3400.61065788307</v>
      </c>
      <c r="N56" s="43">
        <v>0.686398223686155</v>
      </c>
      <c r="O56" s="44">
        <v>8643725.3076590467</v>
      </c>
      <c r="P56" s="43">
        <v>144062.08846098412</v>
      </c>
      <c r="Q56" s="43">
        <v>165212.09434167357</v>
      </c>
      <c r="R56" s="45">
        <v>50.416422184203292</v>
      </c>
      <c r="S56" s="43">
        <v>3175215.9581410554</v>
      </c>
      <c r="T56" s="43">
        <v>52920.265969017586</v>
      </c>
      <c r="U56" s="43">
        <v>80968.187532716809</v>
      </c>
      <c r="V56" s="43">
        <v>30.55682158874669</v>
      </c>
      <c r="W56" s="44">
        <v>139454.96642675999</v>
      </c>
      <c r="X56" s="46">
        <v>9124726816.9445591</v>
      </c>
      <c r="Y56" s="64">
        <v>1</v>
      </c>
      <c r="Z56" s="64">
        <v>1</v>
      </c>
      <c r="AA56" s="64">
        <v>1</v>
      </c>
      <c r="AB56" s="64">
        <v>1</v>
      </c>
      <c r="AC56" s="64">
        <v>1</v>
      </c>
      <c r="AD56" s="65">
        <v>1</v>
      </c>
      <c r="AE56" s="64">
        <v>1</v>
      </c>
      <c r="AF56" s="64">
        <v>1</v>
      </c>
      <c r="AG56" s="64">
        <v>1</v>
      </c>
      <c r="AH56" s="64">
        <v>1</v>
      </c>
      <c r="AI56" s="36">
        <f t="shared" si="6"/>
        <v>201.84557796847227</v>
      </c>
      <c r="AJ56" s="47">
        <f t="shared" si="7"/>
        <v>166.55779819226532</v>
      </c>
      <c r="AK56" s="48">
        <f t="shared" si="8"/>
        <v>141.15111910482781</v>
      </c>
      <c r="AL56" s="49">
        <f t="shared" si="9"/>
        <v>105.86333932862084</v>
      </c>
      <c r="AM56" s="35" t="str">
        <f t="shared" si="5"/>
        <v>HEB 140</v>
      </c>
    </row>
    <row r="57" spans="1:39">
      <c r="A57" s="40" t="s">
        <v>88</v>
      </c>
      <c r="B57" s="32">
        <f>IF(C57&lt;=2,Q57,P57)*IF(head!F$57="S235",235,IF(head!F$57="S275",275,IF(head!F$57="S355",355,IF(head!F$57="S420",420,460))))/1000000</f>
        <v>112.89600152080575</v>
      </c>
      <c r="C57" s="57">
        <f>IF(head!$F$57="S235",Y57,IF(head!$F$57="S275",Z57,IF(head!$F$57="S355",AA57,IF(head!$F$57="S420",AB57,AC57))))</f>
        <v>1</v>
      </c>
      <c r="D57" s="53">
        <f>IF(E57&lt;=2,Q57,P57)*IF(head!F$57="S235",235,IF(head!F$57="S275",275,IF(head!F$57="S355",355,IF(head!F$57="S420",420,460))))/(head!$G$31*head!$G$32*1000000)</f>
        <v>132.818825318595</v>
      </c>
      <c r="E57" s="58">
        <f>IF(head!$F$57="S235",AD57,IF(head!$F$57="S275",AE57,IF(head!$F$57="S355",AF57,IF(head!$F$57="S420",AG57,AH57))))</f>
        <v>1</v>
      </c>
      <c r="F57" s="41">
        <v>140</v>
      </c>
      <c r="G57" s="41">
        <v>140</v>
      </c>
      <c r="H57" s="41">
        <v>7</v>
      </c>
      <c r="I57" s="41">
        <v>12</v>
      </c>
      <c r="J57" s="41">
        <v>12</v>
      </c>
      <c r="K57" s="42">
        <v>33.720543664382092</v>
      </c>
      <c r="L57" s="43">
        <v>34.364885263064558</v>
      </c>
      <c r="M57" s="43">
        <v>4295.6106578830695</v>
      </c>
      <c r="N57" s="43">
        <v>0.80539822368615499</v>
      </c>
      <c r="O57" s="44">
        <v>15092308.802431032</v>
      </c>
      <c r="P57" s="43">
        <v>215604.41146330046</v>
      </c>
      <c r="Q57" s="43">
        <v>245426.0902626212</v>
      </c>
      <c r="R57" s="45">
        <v>59.274156943282939</v>
      </c>
      <c r="S57" s="43">
        <v>5496663.1109068645</v>
      </c>
      <c r="T57" s="43">
        <v>78523.758727240915</v>
      </c>
      <c r="U57" s="43">
        <v>119784.96519718757</v>
      </c>
      <c r="V57" s="43">
        <v>35.771496099634476</v>
      </c>
      <c r="W57" s="44">
        <v>201977.99803147299</v>
      </c>
      <c r="X57" s="46">
        <v>21964831790.958698</v>
      </c>
      <c r="Y57" s="64">
        <v>1</v>
      </c>
      <c r="Z57" s="64">
        <v>1</v>
      </c>
      <c r="AA57" s="64">
        <v>1</v>
      </c>
      <c r="AB57" s="64">
        <v>1</v>
      </c>
      <c r="AC57" s="64">
        <v>1</v>
      </c>
      <c r="AD57" s="65">
        <v>1</v>
      </c>
      <c r="AE57" s="64">
        <v>1</v>
      </c>
      <c r="AF57" s="64">
        <v>1</v>
      </c>
      <c r="AG57" s="64">
        <v>1</v>
      </c>
      <c r="AH57" s="64">
        <v>1</v>
      </c>
      <c r="AI57" s="36">
        <f t="shared" si="6"/>
        <v>187.49330137919557</v>
      </c>
      <c r="AJ57" s="47">
        <f t="shared" si="7"/>
        <v>154.90189327681563</v>
      </c>
      <c r="AK57" s="48">
        <f t="shared" si="8"/>
        <v>130.36563240951983</v>
      </c>
      <c r="AL57" s="49">
        <f t="shared" si="9"/>
        <v>97.774224307139889</v>
      </c>
      <c r="AM57" s="35" t="str">
        <f t="shared" si="5"/>
        <v>HEB 160</v>
      </c>
    </row>
    <row r="58" spans="1:39">
      <c r="A58" s="40" t="s">
        <v>89</v>
      </c>
      <c r="B58" s="32">
        <f>IF(C58&lt;=2,Q58,P58)*IF(head!F$57="S235",235,IF(head!F$57="S275",275,IF(head!F$57="S355",355,IF(head!F$57="S420",420,460))))/1000000</f>
        <v>162.8240683383797</v>
      </c>
      <c r="C58" s="57">
        <f>IF(head!$F$57="S235",Y58,IF(head!$F$57="S275",Z58,IF(head!$F$57="S355",AA58,IF(head!$F$57="S420",AB58,AC58))))</f>
        <v>1</v>
      </c>
      <c r="D58" s="53">
        <f>IF(E58&lt;=2,Q58,P58)*IF(head!F$57="S235",235,IF(head!F$57="S275",275,IF(head!F$57="S355",355,IF(head!F$57="S420",420,460))))/(head!$G$31*head!$G$32*1000000)</f>
        <v>191.55772745691732</v>
      </c>
      <c r="E58" s="58">
        <f>IF(head!$F$57="S235",AD58,IF(head!$F$57="S275",AE58,IF(head!$F$57="S355",AF58,IF(head!$F$57="S420",AG58,AH58))))</f>
        <v>1</v>
      </c>
      <c r="F58" s="41">
        <v>160</v>
      </c>
      <c r="G58" s="41">
        <v>160</v>
      </c>
      <c r="H58" s="41">
        <v>8</v>
      </c>
      <c r="I58" s="41">
        <v>13</v>
      </c>
      <c r="J58" s="41">
        <v>15</v>
      </c>
      <c r="K58" s="42">
        <v>42.587361975597034</v>
      </c>
      <c r="L58" s="43">
        <v>43.401133223538373</v>
      </c>
      <c r="M58" s="43">
        <v>5425.1416529422968</v>
      </c>
      <c r="N58" s="43">
        <v>0.91824777960769377</v>
      </c>
      <c r="O58" s="44">
        <v>24920010.247533977</v>
      </c>
      <c r="P58" s="43">
        <v>311500.12809417472</v>
      </c>
      <c r="Q58" s="43">
        <v>353965.36595299939</v>
      </c>
      <c r="R58" s="45">
        <v>67.774850323213073</v>
      </c>
      <c r="S58" s="43">
        <v>8892347.3546901736</v>
      </c>
      <c r="T58" s="43">
        <v>111154.34193362718</v>
      </c>
      <c r="U58" s="43">
        <v>169963.69140590364</v>
      </c>
      <c r="V58" s="43">
        <v>40.485794678719358</v>
      </c>
      <c r="W58" s="44">
        <v>312489.08404467697</v>
      </c>
      <c r="X58" s="46">
        <v>46665099831.053101</v>
      </c>
      <c r="Y58" s="64">
        <v>1</v>
      </c>
      <c r="Z58" s="64">
        <v>1</v>
      </c>
      <c r="AA58" s="64">
        <v>1</v>
      </c>
      <c r="AB58" s="64">
        <v>1</v>
      </c>
      <c r="AC58" s="64">
        <v>1</v>
      </c>
      <c r="AD58" s="65">
        <v>1</v>
      </c>
      <c r="AE58" s="64">
        <v>1</v>
      </c>
      <c r="AF58" s="64">
        <v>1</v>
      </c>
      <c r="AG58" s="64">
        <v>1</v>
      </c>
      <c r="AH58" s="64">
        <v>1</v>
      </c>
      <c r="AI58" s="36">
        <f t="shared" si="6"/>
        <v>169.25784400665131</v>
      </c>
      <c r="AJ58" s="47">
        <f t="shared" si="7"/>
        <v>139.76552652712064</v>
      </c>
      <c r="AK58" s="48">
        <f t="shared" si="8"/>
        <v>117.96926991812268</v>
      </c>
      <c r="AL58" s="49">
        <f t="shared" si="9"/>
        <v>88.476952438592008</v>
      </c>
      <c r="AM58" s="35" t="str">
        <f t="shared" si="5"/>
        <v>HEB 180</v>
      </c>
    </row>
    <row r="59" spans="1:39">
      <c r="A59" s="40" t="s">
        <v>90</v>
      </c>
      <c r="B59" s="32">
        <f>IF(C59&lt;=2,Q59,P59)*IF(head!F$57="S235",235,IF(head!F$57="S275",275,IF(head!F$57="S355",355,IF(head!F$57="S420",420,460))))/1000000</f>
        <v>221.46591478156083</v>
      </c>
      <c r="C59" s="57">
        <f>IF(head!$F$57="S235",Y59,IF(head!$F$57="S275",Z59,IF(head!$F$57="S355",AA59,IF(head!$F$57="S420",AB59,AC59))))</f>
        <v>1</v>
      </c>
      <c r="D59" s="53">
        <f>IF(E59&lt;=2,Q59,P59)*IF(head!F$57="S235",235,IF(head!F$57="S275",275,IF(head!F$57="S355",355,IF(head!F$57="S420",420,460))))/(head!$G$31*head!$G$32*1000000)</f>
        <v>260.54813503713041</v>
      </c>
      <c r="E59" s="58">
        <f>IF(head!$F$57="S235",AD59,IF(head!$F$57="S275",AE59,IF(head!$F$57="S355",AF59,IF(head!$F$57="S420",AG59,AH59))))</f>
        <v>1</v>
      </c>
      <c r="F59" s="41">
        <v>180</v>
      </c>
      <c r="G59" s="41">
        <v>180</v>
      </c>
      <c r="H59" s="41">
        <v>8.5</v>
      </c>
      <c r="I59" s="41">
        <v>14</v>
      </c>
      <c r="J59" s="41">
        <v>15</v>
      </c>
      <c r="K59" s="42">
        <v>51.222361975597032</v>
      </c>
      <c r="L59" s="43">
        <v>52.201133223538378</v>
      </c>
      <c r="M59" s="43">
        <v>6525.1416529422968</v>
      </c>
      <c r="N59" s="43">
        <v>1.0372477796076938</v>
      </c>
      <c r="O59" s="44">
        <v>38311329.975242957</v>
      </c>
      <c r="P59" s="43">
        <v>425681.44416936621</v>
      </c>
      <c r="Q59" s="43">
        <v>481447.64082948008</v>
      </c>
      <c r="R59" s="45">
        <v>76.624674439493049</v>
      </c>
      <c r="S59" s="43">
        <v>13628464.1884131</v>
      </c>
      <c r="T59" s="43">
        <v>151427.37987125668</v>
      </c>
      <c r="U59" s="43">
        <v>231013.47681913924</v>
      </c>
      <c r="V59" s="43">
        <v>45.701292906449368</v>
      </c>
      <c r="W59" s="44">
        <v>422447.86882266501</v>
      </c>
      <c r="X59" s="46">
        <v>91725400166.341995</v>
      </c>
      <c r="Y59" s="64">
        <v>1</v>
      </c>
      <c r="Z59" s="64">
        <v>1</v>
      </c>
      <c r="AA59" s="64">
        <v>1</v>
      </c>
      <c r="AB59" s="64">
        <v>1</v>
      </c>
      <c r="AC59" s="64">
        <v>1</v>
      </c>
      <c r="AD59" s="65">
        <v>1</v>
      </c>
      <c r="AE59" s="64">
        <v>1</v>
      </c>
      <c r="AF59" s="64">
        <v>1</v>
      </c>
      <c r="AG59" s="64">
        <v>1</v>
      </c>
      <c r="AH59" s="64">
        <v>1</v>
      </c>
      <c r="AI59" s="36">
        <f t="shared" si="6"/>
        <v>158.96172600942404</v>
      </c>
      <c r="AJ59" s="47">
        <f t="shared" si="7"/>
        <v>131.37611797609731</v>
      </c>
      <c r="AK59" s="48">
        <f t="shared" si="8"/>
        <v>110.342432133307</v>
      </c>
      <c r="AL59" s="49">
        <f t="shared" si="9"/>
        <v>82.756824099980236</v>
      </c>
      <c r="AM59" s="35" t="str">
        <f t="shared" si="5"/>
        <v>HEB 200</v>
      </c>
    </row>
    <row r="60" spans="1:39">
      <c r="A60" s="40" t="s">
        <v>91</v>
      </c>
      <c r="B60" s="32">
        <f>IF(C60&lt;=2,Q60,P60)*IF(head!F$57="S235",235,IF(head!F$57="S275",275,IF(head!F$57="S355",355,IF(head!F$57="S420",420,460))))/1000000</f>
        <v>295.57176107090146</v>
      </c>
      <c r="C60" s="57">
        <f>IF(head!$F$57="S235",Y60,IF(head!$F$57="S275",Z60,IF(head!$F$57="S355",AA60,IF(head!$F$57="S420",AB60,AC60))))</f>
        <v>1</v>
      </c>
      <c r="D60" s="53">
        <f>IF(E60&lt;=2,Q60,P60)*IF(head!F$57="S235",235,IF(head!F$57="S275",275,IF(head!F$57="S355",355,IF(head!F$57="S420",420,460))))/(head!$G$31*head!$G$32*1000000)</f>
        <v>347.73148361282523</v>
      </c>
      <c r="E60" s="58">
        <f>IF(head!$F$57="S235",AD60,IF(head!$F$57="S275",AE60,IF(head!$F$57="S355",AF60,IF(head!$F$57="S420",AG60,AH60))))</f>
        <v>1</v>
      </c>
      <c r="F60" s="41">
        <v>200</v>
      </c>
      <c r="G60" s="41">
        <v>200</v>
      </c>
      <c r="H60" s="41">
        <v>9</v>
      </c>
      <c r="I60" s="41">
        <v>15</v>
      </c>
      <c r="J60" s="41">
        <v>18</v>
      </c>
      <c r="K60" s="42">
        <v>61.293773244859729</v>
      </c>
      <c r="L60" s="43">
        <v>62.464991841895262</v>
      </c>
      <c r="M60" s="43">
        <v>7808.1239802369073</v>
      </c>
      <c r="N60" s="43">
        <v>1.1510973355292327</v>
      </c>
      <c r="O60" s="44">
        <v>56961760.589682661</v>
      </c>
      <c r="P60" s="43">
        <v>569617.6058968266</v>
      </c>
      <c r="Q60" s="43">
        <v>642547.30667587277</v>
      </c>
      <c r="R60" s="45">
        <v>85.411893873293721</v>
      </c>
      <c r="S60" s="43">
        <v>20033687.807394125</v>
      </c>
      <c r="T60" s="43">
        <v>200336.87807394125</v>
      </c>
      <c r="U60" s="43">
        <v>305812.28955533041</v>
      </c>
      <c r="V60" s="43">
        <v>50.653224910181059</v>
      </c>
      <c r="W60" s="44">
        <v>596001.62994367699</v>
      </c>
      <c r="X60" s="46">
        <v>167059855970.74799</v>
      </c>
      <c r="Y60" s="64">
        <v>1</v>
      </c>
      <c r="Z60" s="64">
        <v>1</v>
      </c>
      <c r="AA60" s="64">
        <v>1</v>
      </c>
      <c r="AB60" s="64">
        <v>1</v>
      </c>
      <c r="AC60" s="64">
        <v>1</v>
      </c>
      <c r="AD60" s="65">
        <v>1</v>
      </c>
      <c r="AE60" s="64">
        <v>1</v>
      </c>
      <c r="AF60" s="64">
        <v>1</v>
      </c>
      <c r="AG60" s="64">
        <v>1</v>
      </c>
      <c r="AH60" s="64">
        <v>1</v>
      </c>
      <c r="AI60" s="36">
        <f t="shared" si="6"/>
        <v>147.42303509047343</v>
      </c>
      <c r="AJ60" s="47">
        <f t="shared" si="7"/>
        <v>121.8086877125093</v>
      </c>
      <c r="AK60" s="48">
        <f t="shared" si="8"/>
        <v>102.45738951185649</v>
      </c>
      <c r="AL60" s="49">
        <f t="shared" si="9"/>
        <v>76.843042133892354</v>
      </c>
      <c r="AM60" s="35" t="str">
        <f t="shared" si="5"/>
        <v>HEB 220</v>
      </c>
    </row>
    <row r="61" spans="1:39">
      <c r="A61" s="40" t="s">
        <v>92</v>
      </c>
      <c r="B61" s="32">
        <f>IF(C61&lt;=2,Q61,P61)*IF(head!F$57="S235",235,IF(head!F$57="S275",275,IF(head!F$57="S355",355,IF(head!F$57="S420",420,460))))/1000000</f>
        <v>380.44181434908228</v>
      </c>
      <c r="C61" s="57">
        <f>IF(head!$F$57="S235",Y61,IF(head!$F$57="S275",Z61,IF(head!$F$57="S355",AA61,IF(head!$F$57="S420",AB61,AC61))))</f>
        <v>1</v>
      </c>
      <c r="D61" s="53">
        <f>IF(E61&lt;=2,Q61,P61)*IF(head!F$57="S235",235,IF(head!F$57="S275",275,IF(head!F$57="S355",355,IF(head!F$57="S420",420,460))))/(head!$G$31*head!$G$32*1000000)</f>
        <v>447.57860511656742</v>
      </c>
      <c r="E61" s="58">
        <f>IF(head!$F$57="S235",AD61,IF(head!$F$57="S275",AE61,IF(head!$F$57="S355",AF61,IF(head!$F$57="S420",AG61,AH61))))</f>
        <v>1</v>
      </c>
      <c r="F61" s="41">
        <v>220</v>
      </c>
      <c r="G61" s="41">
        <v>220</v>
      </c>
      <c r="H61" s="41">
        <v>9.5</v>
      </c>
      <c r="I61" s="41">
        <v>16</v>
      </c>
      <c r="J61" s="41">
        <v>18</v>
      </c>
      <c r="K61" s="42">
        <v>71.467373244859729</v>
      </c>
      <c r="L61" s="43">
        <v>72.83299184189525</v>
      </c>
      <c r="M61" s="43">
        <v>9104.1239802369073</v>
      </c>
      <c r="N61" s="43">
        <v>1.2700973355292327</v>
      </c>
      <c r="O61" s="44">
        <v>80909652.152247563</v>
      </c>
      <c r="P61" s="43">
        <v>735542.29229315964</v>
      </c>
      <c r="Q61" s="43">
        <v>827047.42249800498</v>
      </c>
      <c r="R61" s="45">
        <v>94.271644991720365</v>
      </c>
      <c r="S61" s="43">
        <v>28432661.459920555</v>
      </c>
      <c r="T61" s="43">
        <v>258478.74054473231</v>
      </c>
      <c r="U61" s="43">
        <v>393881.07055038959</v>
      </c>
      <c r="V61" s="43">
        <v>55.884281982122822</v>
      </c>
      <c r="W61" s="44">
        <v>770316.57900687004</v>
      </c>
      <c r="X61" s="46">
        <v>289504007156.59601</v>
      </c>
      <c r="Y61" s="64">
        <v>1</v>
      </c>
      <c r="Z61" s="64">
        <v>1</v>
      </c>
      <c r="AA61" s="64">
        <v>1</v>
      </c>
      <c r="AB61" s="64">
        <v>1</v>
      </c>
      <c r="AC61" s="64">
        <v>1</v>
      </c>
      <c r="AD61" s="65">
        <v>1</v>
      </c>
      <c r="AE61" s="64">
        <v>1</v>
      </c>
      <c r="AF61" s="64">
        <v>1</v>
      </c>
      <c r="AG61" s="64">
        <v>1</v>
      </c>
      <c r="AH61" s="64">
        <v>1</v>
      </c>
      <c r="AI61" s="36">
        <f t="shared" si="6"/>
        <v>139.50791292894743</v>
      </c>
      <c r="AJ61" s="47">
        <f t="shared" si="7"/>
        <v>115.34303990244067</v>
      </c>
      <c r="AK61" s="48">
        <f t="shared" si="8"/>
        <v>96.659492106026946</v>
      </c>
      <c r="AL61" s="49">
        <f t="shared" si="9"/>
        <v>72.494619079520206</v>
      </c>
      <c r="AM61" s="35" t="str">
        <f t="shared" si="5"/>
        <v>HEB 240</v>
      </c>
    </row>
    <row r="62" spans="1:39">
      <c r="A62" s="40" t="s">
        <v>93</v>
      </c>
      <c r="B62" s="32">
        <f>IF(C62&lt;=2,Q62,P62)*IF(head!F$57="S235",235,IF(head!F$57="S275",275,IF(head!F$57="S355",355,IF(head!F$57="S420",420,460))))/1000000</f>
        <v>484.44703417200742</v>
      </c>
      <c r="C62" s="57">
        <f>IF(head!$F$57="S235",Y62,IF(head!$F$57="S275",Z62,IF(head!$F$57="S355",AA62,IF(head!$F$57="S420",AB62,AC62))))</f>
        <v>1</v>
      </c>
      <c r="D62" s="53">
        <f>IF(E62&lt;=2,Q62,P62)*IF(head!F$57="S235",235,IF(head!F$57="S275",275,IF(head!F$57="S355",355,IF(head!F$57="S420",420,460))))/(head!$G$31*head!$G$32*1000000)</f>
        <v>569.93768726118526</v>
      </c>
      <c r="E62" s="58">
        <f>IF(head!$F$57="S235",AD62,IF(head!$F$57="S275",AE62,IF(head!$F$57="S355",AF62,IF(head!$F$57="S420",AG62,AH62))))</f>
        <v>2</v>
      </c>
      <c r="F62" s="41">
        <v>240</v>
      </c>
      <c r="G62" s="41">
        <v>240</v>
      </c>
      <c r="H62" s="41">
        <v>10</v>
      </c>
      <c r="I62" s="41">
        <v>17</v>
      </c>
      <c r="J62" s="41">
        <v>21</v>
      </c>
      <c r="K62" s="42">
        <v>83.198677472170175</v>
      </c>
      <c r="L62" s="43">
        <v>84.788461118135217</v>
      </c>
      <c r="M62" s="43">
        <v>10598.557639766901</v>
      </c>
      <c r="N62" s="43">
        <v>1.3839468914507713</v>
      </c>
      <c r="O62" s="44">
        <v>112593047.21624359</v>
      </c>
      <c r="P62" s="43">
        <v>938275.39346869662</v>
      </c>
      <c r="Q62" s="43">
        <v>1053145.7264608857</v>
      </c>
      <c r="R62" s="45">
        <v>103.07003024636219</v>
      </c>
      <c r="S62" s="43">
        <v>39226586.610933393</v>
      </c>
      <c r="T62" s="43">
        <v>326888.22175777826</v>
      </c>
      <c r="U62" s="43">
        <v>498418.49863393942</v>
      </c>
      <c r="V62" s="43">
        <v>60.836872017178699</v>
      </c>
      <c r="W62" s="44">
        <v>1036217.2074635699</v>
      </c>
      <c r="X62" s="46">
        <v>476272841888.93799</v>
      </c>
      <c r="Y62" s="64">
        <v>1</v>
      </c>
      <c r="Z62" s="64">
        <v>1</v>
      </c>
      <c r="AA62" s="64">
        <v>1</v>
      </c>
      <c r="AB62" s="64">
        <v>1</v>
      </c>
      <c r="AC62" s="64">
        <v>1</v>
      </c>
      <c r="AD62" s="65">
        <v>1</v>
      </c>
      <c r="AE62" s="64">
        <v>1</v>
      </c>
      <c r="AF62" s="64">
        <v>1</v>
      </c>
      <c r="AG62" s="64">
        <v>1</v>
      </c>
      <c r="AH62" s="64">
        <v>2</v>
      </c>
      <c r="AI62" s="36">
        <f t="shared" si="6"/>
        <v>130.57879557667897</v>
      </c>
      <c r="AJ62" s="47">
        <f t="shared" si="7"/>
        <v>107.93420485430606</v>
      </c>
      <c r="AK62" s="48">
        <f t="shared" si="8"/>
        <v>90.578362889491601</v>
      </c>
      <c r="AL62" s="49">
        <f t="shared" si="9"/>
        <v>67.933772167118704</v>
      </c>
      <c r="AM62" s="35" t="str">
        <f t="shared" si="5"/>
        <v>HEB 260</v>
      </c>
    </row>
    <row r="63" spans="1:39">
      <c r="A63" s="40" t="s">
        <v>94</v>
      </c>
      <c r="B63" s="32">
        <f>IF(C63&lt;=2,Q63,P63)*IF(head!F$57="S235",235,IF(head!F$57="S275",275,IF(head!F$57="S355",355,IF(head!F$57="S420",420,460))))/1000000</f>
        <v>590.13936952967902</v>
      </c>
      <c r="C63" s="57">
        <f>IF(head!$F$57="S235",Y63,IF(head!$F$57="S275",Z63,IF(head!$F$57="S355",AA63,IF(head!$F$57="S420",AB63,AC63))))</f>
        <v>1</v>
      </c>
      <c r="D63" s="53">
        <f>IF(E63&lt;=2,Q63,P63)*IF(head!F$57="S235",235,IF(head!F$57="S275",275,IF(head!F$57="S355",355,IF(head!F$57="S420",420,460))))/(head!$G$31*head!$G$32*1000000)</f>
        <v>694.28161121138714</v>
      </c>
      <c r="E63" s="58">
        <f>IF(head!$F$57="S235",AD63,IF(head!$F$57="S275",AE63,IF(head!$F$57="S355",AF63,IF(head!$F$57="S420",AG63,AH63))))</f>
        <v>2</v>
      </c>
      <c r="F63" s="41">
        <v>260</v>
      </c>
      <c r="G63" s="41">
        <v>260</v>
      </c>
      <c r="H63" s="41">
        <v>10</v>
      </c>
      <c r="I63" s="41">
        <v>17.5</v>
      </c>
      <c r="J63" s="41">
        <v>24</v>
      </c>
      <c r="K63" s="42">
        <v>92.978874657528394</v>
      </c>
      <c r="L63" s="43">
        <v>94.755541052258238</v>
      </c>
      <c r="M63" s="43">
        <v>11844.44263153228</v>
      </c>
      <c r="N63" s="43">
        <v>1.4987964473723101</v>
      </c>
      <c r="O63" s="44">
        <v>149194267.87309265</v>
      </c>
      <c r="P63" s="43">
        <v>1147648.2144084051</v>
      </c>
      <c r="Q63" s="43">
        <v>1282911.6728906066</v>
      </c>
      <c r="R63" s="45">
        <v>112.23253034034182</v>
      </c>
      <c r="S63" s="43">
        <v>51345173.325392626</v>
      </c>
      <c r="T63" s="43">
        <v>394962.87173378945</v>
      </c>
      <c r="U63" s="43">
        <v>602247.83631443605</v>
      </c>
      <c r="V63" s="43">
        <v>65.840405616969463</v>
      </c>
      <c r="W63" s="44">
        <v>1257549.6231478001</v>
      </c>
      <c r="X63" s="46">
        <v>736263734656.45898</v>
      </c>
      <c r="Y63" s="64">
        <v>1</v>
      </c>
      <c r="Z63" s="64">
        <v>1</v>
      </c>
      <c r="AA63" s="64">
        <v>1</v>
      </c>
      <c r="AB63" s="64">
        <v>1</v>
      </c>
      <c r="AC63" s="64">
        <v>1</v>
      </c>
      <c r="AD63" s="65">
        <v>1</v>
      </c>
      <c r="AE63" s="64">
        <v>1</v>
      </c>
      <c r="AF63" s="64">
        <v>1</v>
      </c>
      <c r="AG63" s="64">
        <v>2</v>
      </c>
      <c r="AH63" s="64">
        <v>2</v>
      </c>
      <c r="AI63" s="36">
        <f t="shared" si="6"/>
        <v>126.54005713888246</v>
      </c>
      <c r="AJ63" s="47">
        <f t="shared" si="7"/>
        <v>104.58883426683039</v>
      </c>
      <c r="AK63" s="48">
        <f t="shared" si="8"/>
        <v>87.804891488208284</v>
      </c>
      <c r="AL63" s="49">
        <f t="shared" si="9"/>
        <v>65.853668616156213</v>
      </c>
      <c r="AM63" s="35" t="str">
        <f t="shared" si="5"/>
        <v>HEB 280</v>
      </c>
    </row>
    <row r="64" spans="1:39">
      <c r="A64" s="40" t="s">
        <v>95</v>
      </c>
      <c r="B64" s="32">
        <f>IF(C64&lt;=2,Q64,P64)*IF(head!F$57="S235",235,IF(head!F$57="S275",275,IF(head!F$57="S355",355,IF(head!F$57="S420",420,460))))/1000000</f>
        <v>705.83935382947516</v>
      </c>
      <c r="C64" s="57">
        <f>IF(head!$F$57="S235",Y64,IF(head!$F$57="S275",Z64,IF(head!$F$57="S355",AA64,IF(head!$F$57="S420",AB64,AC64))))</f>
        <v>1</v>
      </c>
      <c r="D64" s="53">
        <f>IF(E64&lt;=2,Q64,P64)*IF(head!F$57="S235",235,IF(head!F$57="S275",275,IF(head!F$57="S355",355,IF(head!F$57="S420",420,460))))/(head!$G$31*head!$G$32*1000000)</f>
        <v>744.90131222858201</v>
      </c>
      <c r="E64" s="58">
        <f>IF(head!$F$57="S235",AD64,IF(head!$F$57="S275",AE64,IF(head!$F$57="S355",AF64,IF(head!$F$57="S420",AG64,AH64))))</f>
        <v>3</v>
      </c>
      <c r="F64" s="41">
        <v>280</v>
      </c>
      <c r="G64" s="41">
        <v>280</v>
      </c>
      <c r="H64" s="41">
        <v>10.5</v>
      </c>
      <c r="I64" s="41">
        <v>18</v>
      </c>
      <c r="J64" s="41">
        <v>24</v>
      </c>
      <c r="K64" s="42">
        <v>103.1210746575284</v>
      </c>
      <c r="L64" s="43">
        <v>105.09154105225824</v>
      </c>
      <c r="M64" s="43">
        <v>13136.44263153228</v>
      </c>
      <c r="N64" s="43">
        <v>1.6177964473723101</v>
      </c>
      <c r="O64" s="44">
        <v>192702730.77217665</v>
      </c>
      <c r="P64" s="43">
        <v>1376448.0769441191</v>
      </c>
      <c r="Q64" s="43">
        <v>1534433.3778901633</v>
      </c>
      <c r="R64" s="45">
        <v>121.11698401758764</v>
      </c>
      <c r="S64" s="43">
        <v>65945220.687880985</v>
      </c>
      <c r="T64" s="43">
        <v>471037.29062772135</v>
      </c>
      <c r="U64" s="43">
        <v>717571.69697231916</v>
      </c>
      <c r="V64" s="43">
        <v>70.852108042621794</v>
      </c>
      <c r="W64" s="44">
        <v>1452910.5146943401</v>
      </c>
      <c r="X64" s="46">
        <v>1107177724075.78</v>
      </c>
      <c r="Y64" s="64">
        <v>1</v>
      </c>
      <c r="Z64" s="64">
        <v>1</v>
      </c>
      <c r="AA64" s="64">
        <v>1</v>
      </c>
      <c r="AB64" s="64">
        <v>1</v>
      </c>
      <c r="AC64" s="64">
        <v>1</v>
      </c>
      <c r="AD64" s="65">
        <v>1</v>
      </c>
      <c r="AE64" s="64">
        <v>1</v>
      </c>
      <c r="AF64" s="64">
        <v>1</v>
      </c>
      <c r="AG64" s="64">
        <v>2</v>
      </c>
      <c r="AH64" s="64">
        <v>3</v>
      </c>
      <c r="AI64" s="36">
        <f t="shared" si="6"/>
        <v>123.15331423813365</v>
      </c>
      <c r="AJ64" s="47">
        <f t="shared" si="7"/>
        <v>101.83856352107898</v>
      </c>
      <c r="AK64" s="48">
        <f t="shared" si="8"/>
        <v>85.259002868218616</v>
      </c>
      <c r="AL64" s="49">
        <f t="shared" si="9"/>
        <v>63.944252151163965</v>
      </c>
      <c r="AM64" s="35" t="str">
        <f t="shared" si="5"/>
        <v>HEB 300</v>
      </c>
    </row>
    <row r="65" spans="1:39">
      <c r="A65" s="40" t="s">
        <v>96</v>
      </c>
      <c r="B65" s="32">
        <f>IF(C65&lt;=2,Q65,P65)*IF(head!F$57="S235",235,IF(head!F$57="S275",275,IF(head!F$57="S355",355,IF(head!F$57="S420",420,460))))/1000000</f>
        <v>859.59004523270073</v>
      </c>
      <c r="C65" s="57">
        <f>IF(head!$F$57="S235",Y65,IF(head!$F$57="S275",Z65,IF(head!$F$57="S355",AA65,IF(head!$F$57="S420",AB65,AC65))))</f>
        <v>1</v>
      </c>
      <c r="D65" s="53">
        <f>IF(E65&lt;=2,Q65,P65)*IF(head!F$57="S235",235,IF(head!F$57="S275",275,IF(head!F$57="S355",355,IF(head!F$57="S420",420,460))))/(head!$G$31*head!$G$32*1000000)</f>
        <v>907.93824823219313</v>
      </c>
      <c r="E65" s="58">
        <f>IF(head!$F$57="S235",AD65,IF(head!$F$57="S275",AE65,IF(head!$F$57="S355",AF65,IF(head!$F$57="S420",AG65,AH65))))</f>
        <v>3</v>
      </c>
      <c r="F65" s="41">
        <v>300</v>
      </c>
      <c r="G65" s="41">
        <v>300</v>
      </c>
      <c r="H65" s="41">
        <v>11</v>
      </c>
      <c r="I65" s="41">
        <v>19</v>
      </c>
      <c r="J65" s="41">
        <v>27</v>
      </c>
      <c r="K65" s="42">
        <v>117.02606480093436</v>
      </c>
      <c r="L65" s="43">
        <v>119.26223164426433</v>
      </c>
      <c r="M65" s="43">
        <v>14907.77895553304</v>
      </c>
      <c r="N65" s="43">
        <v>1.731646003293849</v>
      </c>
      <c r="O65" s="44">
        <v>251656797.06435794</v>
      </c>
      <c r="P65" s="43">
        <v>1677711.9804290526</v>
      </c>
      <c r="Q65" s="43">
        <v>1868674.0113754363</v>
      </c>
      <c r="R65" s="45">
        <v>129.92653609763008</v>
      </c>
      <c r="S65" s="43">
        <v>85628304.403094321</v>
      </c>
      <c r="T65" s="43">
        <v>570855.36268729542</v>
      </c>
      <c r="U65" s="43">
        <v>870141.31605482381</v>
      </c>
      <c r="V65" s="43">
        <v>75.788305978742656</v>
      </c>
      <c r="W65" s="44">
        <v>1874457.2644152399</v>
      </c>
      <c r="X65" s="46">
        <v>1650977778802.54</v>
      </c>
      <c r="Y65" s="64">
        <v>1</v>
      </c>
      <c r="Z65" s="64">
        <v>1</v>
      </c>
      <c r="AA65" s="64">
        <v>1</v>
      </c>
      <c r="AB65" s="64">
        <v>1</v>
      </c>
      <c r="AC65" s="64">
        <v>1</v>
      </c>
      <c r="AD65" s="65">
        <v>1</v>
      </c>
      <c r="AE65" s="64">
        <v>1</v>
      </c>
      <c r="AF65" s="64">
        <v>1</v>
      </c>
      <c r="AG65" s="64">
        <v>2</v>
      </c>
      <c r="AH65" s="64">
        <v>3</v>
      </c>
      <c r="AI65" s="36">
        <f t="shared" si="6"/>
        <v>116.15720949841067</v>
      </c>
      <c r="AJ65" s="47">
        <f t="shared" si="7"/>
        <v>96.033487454044376</v>
      </c>
      <c r="AK65" s="48">
        <f t="shared" si="8"/>
        <v>80.494888177465128</v>
      </c>
      <c r="AL65" s="49">
        <f t="shared" si="9"/>
        <v>60.371166133098846</v>
      </c>
      <c r="AM65" s="35" t="str">
        <f t="shared" si="5"/>
        <v>HEB 320</v>
      </c>
    </row>
    <row r="66" spans="1:39">
      <c r="A66" s="40" t="s">
        <v>97</v>
      </c>
      <c r="B66" s="32">
        <f>IF(C66&lt;=2,Q66,P66)*IF(head!F$57="S235",235,IF(head!F$57="S275",275,IF(head!F$57="S355",355,IF(head!F$57="S420",420,460))))/1000000</f>
        <v>988.65040344883494</v>
      </c>
      <c r="C66" s="57">
        <f>IF(head!$F$57="S235",Y66,IF(head!$F$57="S275",Z66,IF(head!$F$57="S355",AA66,IF(head!$F$57="S420",AB66,AC66))))</f>
        <v>1</v>
      </c>
      <c r="D66" s="53">
        <f>IF(E66&lt;=2,Q66,P66)*IF(head!F$57="S235",235,IF(head!F$57="S275",275,IF(head!F$57="S355",355,IF(head!F$57="S420",420,460))))/(head!$G$31*head!$G$32*1000000)</f>
        <v>1163.1181217045116</v>
      </c>
      <c r="E66" s="58">
        <f>IF(head!$F$57="S235",AD66,IF(head!$F$57="S275",AE66,IF(head!$F$57="S355",AF66,IF(head!$F$57="S420",AG66,AH66))))</f>
        <v>2</v>
      </c>
      <c r="F66" s="41">
        <v>320</v>
      </c>
      <c r="G66" s="41">
        <v>300</v>
      </c>
      <c r="H66" s="41">
        <v>11.5</v>
      </c>
      <c r="I66" s="41">
        <v>20.5</v>
      </c>
      <c r="J66" s="41">
        <v>27</v>
      </c>
      <c r="K66" s="42">
        <v>126.65408980093436</v>
      </c>
      <c r="L66" s="43">
        <v>129.07423164426433</v>
      </c>
      <c r="M66" s="43">
        <v>16134.27895553304</v>
      </c>
      <c r="N66" s="43">
        <v>1.7706460032938489</v>
      </c>
      <c r="O66" s="44">
        <v>308235422.49561095</v>
      </c>
      <c r="P66" s="43">
        <v>1926471.3905975684</v>
      </c>
      <c r="Q66" s="43">
        <v>2149240.0074974671</v>
      </c>
      <c r="R66" s="45">
        <v>138.21860088375288</v>
      </c>
      <c r="S66" s="43">
        <v>92388251.599389806</v>
      </c>
      <c r="T66" s="43">
        <v>615921.6773292654</v>
      </c>
      <c r="U66" s="43">
        <v>939096.6982937071</v>
      </c>
      <c r="V66" s="43">
        <v>75.671717904705574</v>
      </c>
      <c r="W66" s="44">
        <v>2293018.4030929301</v>
      </c>
      <c r="X66" s="46">
        <v>2026116027665.8401</v>
      </c>
      <c r="Y66" s="64">
        <v>1</v>
      </c>
      <c r="Z66" s="64">
        <v>1</v>
      </c>
      <c r="AA66" s="64">
        <v>1</v>
      </c>
      <c r="AB66" s="64">
        <v>1</v>
      </c>
      <c r="AC66" s="64">
        <v>1</v>
      </c>
      <c r="AD66" s="65">
        <v>1</v>
      </c>
      <c r="AE66" s="64">
        <v>1</v>
      </c>
      <c r="AF66" s="64">
        <v>1</v>
      </c>
      <c r="AG66" s="64">
        <v>1</v>
      </c>
      <c r="AH66" s="64">
        <v>2</v>
      </c>
      <c r="AI66" s="36">
        <f t="shared" si="6"/>
        <v>109.74435288827264</v>
      </c>
      <c r="AJ66" s="47">
        <f t="shared" si="7"/>
        <v>91.150401412237272</v>
      </c>
      <c r="AK66" s="48">
        <f t="shared" si="8"/>
        <v>76.854999434279534</v>
      </c>
      <c r="AL66" s="49">
        <f t="shared" si="9"/>
        <v>58.261047958244163</v>
      </c>
      <c r="AM66" s="35" t="str">
        <f t="shared" si="5"/>
        <v>HEB 340</v>
      </c>
    </row>
    <row r="67" spans="1:39">
      <c r="A67" s="40" t="s">
        <v>98</v>
      </c>
      <c r="B67" s="32">
        <f>IF(C67&lt;=2,Q67,P67)*IF(head!F$57="S235",235,IF(head!F$57="S275",275,IF(head!F$57="S355",355,IF(head!F$57="S420",420,460))))/1000000</f>
        <v>1107.7288258247415</v>
      </c>
      <c r="C67" s="57">
        <f>IF(head!$F$57="S235",Y67,IF(head!$F$57="S275",Z67,IF(head!$F$57="S355",AA67,IF(head!$F$57="S420",AB67,AC67))))</f>
        <v>1</v>
      </c>
      <c r="D67" s="53">
        <f>IF(E67&lt;=2,Q67,P67)*IF(head!F$57="S235",235,IF(head!F$57="S275",275,IF(head!F$57="S355",355,IF(head!F$57="S420",420,460))))/(head!$G$31*head!$G$32*1000000)</f>
        <v>1303.2103833232254</v>
      </c>
      <c r="E67" s="58">
        <f>IF(head!$F$57="S235",AD67,IF(head!$F$57="S275",AE67,IF(head!$F$57="S355",AF67,IF(head!$F$57="S420",AG67,AH67))))</f>
        <v>1</v>
      </c>
      <c r="F67" s="41">
        <v>340</v>
      </c>
      <c r="G67" s="41">
        <v>300</v>
      </c>
      <c r="H67" s="41">
        <v>12</v>
      </c>
      <c r="I67" s="41">
        <v>21.5</v>
      </c>
      <c r="J67" s="41">
        <v>27</v>
      </c>
      <c r="K67" s="42">
        <v>134.15476480093437</v>
      </c>
      <c r="L67" s="43">
        <v>136.71823164426434</v>
      </c>
      <c r="M67" s="43">
        <v>17089.778955533042</v>
      </c>
      <c r="N67" s="43">
        <v>1.8096460032938488</v>
      </c>
      <c r="O67" s="44">
        <v>366563994.60096353</v>
      </c>
      <c r="P67" s="43">
        <v>2156258.7917703739</v>
      </c>
      <c r="Q67" s="43">
        <v>2408106.1430972642</v>
      </c>
      <c r="R67" s="45">
        <v>146.45583510264342</v>
      </c>
      <c r="S67" s="43">
        <v>96899384.49722138</v>
      </c>
      <c r="T67" s="43">
        <v>645995.89664814249</v>
      </c>
      <c r="U67" s="43">
        <v>985720.70553259028</v>
      </c>
      <c r="V67" s="43">
        <v>75.299533646184386</v>
      </c>
      <c r="W67" s="44">
        <v>2620773.0208503697</v>
      </c>
      <c r="X67" s="46">
        <v>2405532680521.6299</v>
      </c>
      <c r="Y67" s="64">
        <v>1</v>
      </c>
      <c r="Z67" s="64">
        <v>1</v>
      </c>
      <c r="AA67" s="64">
        <v>1</v>
      </c>
      <c r="AB67" s="64">
        <v>1</v>
      </c>
      <c r="AC67" s="64">
        <v>1</v>
      </c>
      <c r="AD67" s="65">
        <v>1</v>
      </c>
      <c r="AE67" s="64">
        <v>1</v>
      </c>
      <c r="AF67" s="64">
        <v>1</v>
      </c>
      <c r="AG67" s="64">
        <v>1</v>
      </c>
      <c r="AH67" s="64">
        <v>1</v>
      </c>
      <c r="AI67" s="36">
        <f t="shared" si="6"/>
        <v>105.8905447520696</v>
      </c>
      <c r="AJ67" s="47">
        <f t="shared" si="7"/>
        <v>88.336192482178433</v>
      </c>
      <c r="AK67" s="48">
        <f t="shared" si="8"/>
        <v>74.898569684869031</v>
      </c>
      <c r="AL67" s="49">
        <f t="shared" si="9"/>
        <v>57.344217414977862</v>
      </c>
      <c r="AM67" s="35" t="str">
        <f t="shared" si="5"/>
        <v>HEB 360</v>
      </c>
    </row>
    <row r="68" spans="1:39">
      <c r="A68" s="40" t="s">
        <v>99</v>
      </c>
      <c r="B68" s="32">
        <f>IF(C68&lt;=2,Q68,P68)*IF(head!F$57="S235",235,IF(head!F$57="S275",275,IF(head!F$57="S355",355,IF(head!F$57="S420",420,460))))/1000000</f>
        <v>1234.1750682006486</v>
      </c>
      <c r="C68" s="57">
        <f>IF(head!$F$57="S235",Y68,IF(head!$F$57="S275",Z68,IF(head!$F$57="S355",AA68,IF(head!$F$57="S420",AB68,AC68))))</f>
        <v>1</v>
      </c>
      <c r="D68" s="53">
        <f>IF(E68&lt;=2,Q68,P68)*IF(head!F$57="S235",235,IF(head!F$57="S275",275,IF(head!F$57="S355",355,IF(head!F$57="S420",420,460))))/(head!$G$31*head!$G$32*1000000)</f>
        <v>1451.9706684713512</v>
      </c>
      <c r="E68" s="58">
        <f>IF(head!$F$57="S235",AD68,IF(head!$F$57="S275",AE68,IF(head!$F$57="S355",AF68,IF(head!$F$57="S420",AG68,AH68))))</f>
        <v>1</v>
      </c>
      <c r="F68" s="41">
        <v>360</v>
      </c>
      <c r="G68" s="41">
        <v>300</v>
      </c>
      <c r="H68" s="41">
        <v>12.5</v>
      </c>
      <c r="I68" s="41">
        <v>22.5</v>
      </c>
      <c r="J68" s="41">
        <v>27</v>
      </c>
      <c r="K68" s="42">
        <v>141.79673980093438</v>
      </c>
      <c r="L68" s="43">
        <v>144.50623164426435</v>
      </c>
      <c r="M68" s="43">
        <v>18063.278955533042</v>
      </c>
      <c r="N68" s="43">
        <v>1.848646003293849</v>
      </c>
      <c r="O68" s="44">
        <v>431934537.39711249</v>
      </c>
      <c r="P68" s="43">
        <v>2399636.3188728471</v>
      </c>
      <c r="Q68" s="43">
        <v>2682989.2786970618</v>
      </c>
      <c r="R68" s="45">
        <v>154.63602283653856</v>
      </c>
      <c r="S68" s="43">
        <v>101411689.49242242</v>
      </c>
      <c r="T68" s="43">
        <v>676077.92994948267</v>
      </c>
      <c r="U68" s="43">
        <v>1032489.8377714735</v>
      </c>
      <c r="V68" s="43">
        <v>74.928271580559183</v>
      </c>
      <c r="W68" s="44">
        <v>2979491.9808561802</v>
      </c>
      <c r="X68" s="46">
        <v>2829246161871.1802</v>
      </c>
      <c r="Y68" s="64">
        <v>1</v>
      </c>
      <c r="Z68" s="64">
        <v>1</v>
      </c>
      <c r="AA68" s="64">
        <v>1</v>
      </c>
      <c r="AB68" s="64">
        <v>1</v>
      </c>
      <c r="AC68" s="64">
        <v>1</v>
      </c>
      <c r="AD68" s="65">
        <v>1</v>
      </c>
      <c r="AE68" s="64">
        <v>1</v>
      </c>
      <c r="AF68" s="64">
        <v>1</v>
      </c>
      <c r="AG68" s="64">
        <v>1</v>
      </c>
      <c r="AH68" s="64">
        <v>1</v>
      </c>
      <c r="AI68" s="36">
        <f t="shared" si="6"/>
        <v>102.34276998349638</v>
      </c>
      <c r="AJ68" s="47">
        <f t="shared" si="7"/>
        <v>85.734489685189544</v>
      </c>
      <c r="AK68" s="48">
        <f t="shared" si="8"/>
        <v>73.076433312550108</v>
      </c>
      <c r="AL68" s="49">
        <f t="shared" si="9"/>
        <v>56.468153014243256</v>
      </c>
      <c r="AM68" s="35" t="str">
        <f t="shared" si="5"/>
        <v>HEB 400</v>
      </c>
    </row>
    <row r="69" spans="1:39">
      <c r="A69" s="40" t="s">
        <v>100</v>
      </c>
      <c r="B69" s="32">
        <f>IF(C69&lt;=2,Q69,P69)*IF(head!F$57="S235",235,IF(head!F$57="S275",275,IF(head!F$57="S355",355,IF(head!F$57="S420",420,460))))/1000000</f>
        <v>1486.5999696122346</v>
      </c>
      <c r="C69" s="57">
        <f>IF(head!$F$57="S235",Y69,IF(head!$F$57="S275",Z69,IF(head!$F$57="S355",AA69,IF(head!$F$57="S420",AB69,AC69))))</f>
        <v>1</v>
      </c>
      <c r="D69" s="53">
        <f>IF(E69&lt;=2,Q69,P69)*IF(head!F$57="S235",235,IF(head!F$57="S275",275,IF(head!F$57="S355",355,IF(head!F$57="S420",420,460))))/(head!$G$31*head!$G$32*1000000)</f>
        <v>1748.9411407202761</v>
      </c>
      <c r="E69" s="58">
        <f>IF(head!$F$57="S235",AD69,IF(head!$F$57="S275",AE69,IF(head!$F$57="S355",AF69,IF(head!$F$57="S420",AG69,AH69))))</f>
        <v>1</v>
      </c>
      <c r="F69" s="41">
        <v>400</v>
      </c>
      <c r="G69" s="41">
        <v>300</v>
      </c>
      <c r="H69" s="41">
        <v>13.5</v>
      </c>
      <c r="I69" s="41">
        <v>24</v>
      </c>
      <c r="J69" s="41">
        <v>27</v>
      </c>
      <c r="K69" s="42">
        <v>155.25556480093437</v>
      </c>
      <c r="L69" s="43">
        <v>158.22223164426435</v>
      </c>
      <c r="M69" s="43">
        <v>19777.778955533042</v>
      </c>
      <c r="N69" s="43">
        <v>1.9266460032938488</v>
      </c>
      <c r="O69" s="44">
        <v>576805253.80643487</v>
      </c>
      <c r="P69" s="43">
        <v>2884026.2690321743</v>
      </c>
      <c r="Q69" s="43">
        <v>3231739.0643744231</v>
      </c>
      <c r="R69" s="45">
        <v>170.77560964318306</v>
      </c>
      <c r="S69" s="43">
        <v>108190432.55618276</v>
      </c>
      <c r="T69" s="43">
        <v>721269.55037455168</v>
      </c>
      <c r="U69" s="43">
        <v>1104036.03974924</v>
      </c>
      <c r="V69" s="43">
        <v>73.961492980748289</v>
      </c>
      <c r="W69" s="44">
        <v>3611687.3097686698</v>
      </c>
      <c r="X69" s="46">
        <v>3751045822668.9702</v>
      </c>
      <c r="Y69" s="64">
        <v>1</v>
      </c>
      <c r="Z69" s="64">
        <v>1</v>
      </c>
      <c r="AA69" s="64">
        <v>1</v>
      </c>
      <c r="AB69" s="64">
        <v>1</v>
      </c>
      <c r="AC69" s="64">
        <v>1</v>
      </c>
      <c r="AD69" s="65">
        <v>1</v>
      </c>
      <c r="AE69" s="64">
        <v>1</v>
      </c>
      <c r="AF69" s="64">
        <v>1</v>
      </c>
      <c r="AG69" s="64">
        <v>1</v>
      </c>
      <c r="AH69" s="64">
        <v>1</v>
      </c>
      <c r="AI69" s="36">
        <f t="shared" si="6"/>
        <v>97.414679758813321</v>
      </c>
      <c r="AJ69" s="47">
        <f t="shared" si="7"/>
        <v>82.246141336248357</v>
      </c>
      <c r="AK69" s="48">
        <f t="shared" si="8"/>
        <v>70.786512638636566</v>
      </c>
      <c r="AL69" s="49">
        <f t="shared" si="9"/>
        <v>55.617974216071595</v>
      </c>
      <c r="AM69" s="35" t="str">
        <f t="shared" si="5"/>
        <v>HEB 450</v>
      </c>
    </row>
    <row r="70" spans="1:39">
      <c r="A70" s="40" t="s">
        <v>101</v>
      </c>
      <c r="B70" s="32">
        <f>IF(C70&lt;=2,Q70,P70)*IF(head!F$57="S235",235,IF(head!F$57="S275",275,IF(head!F$57="S355",355,IF(head!F$57="S420",420,460))))/1000000</f>
        <v>1831.8901909617741</v>
      </c>
      <c r="C70" s="57">
        <f>IF(head!$F$57="S235",Y70,IF(head!$F$57="S275",Z70,IF(head!$F$57="S355",AA70,IF(head!$F$57="S420",AB70,AC70))))</f>
        <v>1</v>
      </c>
      <c r="D70" s="53">
        <f>IF(E70&lt;=2,Q70,P70)*IF(head!F$57="S235",235,IF(head!F$57="S275",275,IF(head!F$57="S355",355,IF(head!F$57="S420",420,460))))/(head!$G$31*head!$G$32*1000000)</f>
        <v>2155.1649305432638</v>
      </c>
      <c r="E70" s="58">
        <f>IF(head!$F$57="S235",AD70,IF(head!$F$57="S275",AE70,IF(head!$F$57="S355",AF70,IF(head!$F$57="S420",AG70,AH70))))</f>
        <v>1</v>
      </c>
      <c r="F70" s="41">
        <v>450</v>
      </c>
      <c r="G70" s="41">
        <v>300</v>
      </c>
      <c r="H70" s="41">
        <v>14</v>
      </c>
      <c r="I70" s="41">
        <v>26</v>
      </c>
      <c r="J70" s="41">
        <v>27</v>
      </c>
      <c r="K70" s="42">
        <v>171.11256480093436</v>
      </c>
      <c r="L70" s="43">
        <v>174.38223164426435</v>
      </c>
      <c r="M70" s="43">
        <v>21797.778955533042</v>
      </c>
      <c r="N70" s="43">
        <v>2.0256460032938488</v>
      </c>
      <c r="O70" s="44">
        <v>798875665.16846859</v>
      </c>
      <c r="P70" s="43">
        <v>3550558.5118598603</v>
      </c>
      <c r="Q70" s="43">
        <v>3982369.9803516828</v>
      </c>
      <c r="R70" s="45">
        <v>191.44034751680522</v>
      </c>
      <c r="S70" s="43">
        <v>117213309.02057542</v>
      </c>
      <c r="T70" s="43">
        <v>781422.06013716944</v>
      </c>
      <c r="U70" s="43">
        <v>1197656.4844881233</v>
      </c>
      <c r="V70" s="43">
        <v>73.330110795535575</v>
      </c>
      <c r="W70" s="44">
        <v>4489530.3304490196</v>
      </c>
      <c r="X70" s="46">
        <v>5177573805985.96</v>
      </c>
      <c r="Y70" s="64">
        <v>1</v>
      </c>
      <c r="Z70" s="64">
        <v>1</v>
      </c>
      <c r="AA70" s="64">
        <v>1</v>
      </c>
      <c r="AB70" s="64">
        <v>1</v>
      </c>
      <c r="AC70" s="64">
        <v>1</v>
      </c>
      <c r="AD70" s="65">
        <v>1</v>
      </c>
      <c r="AE70" s="64">
        <v>1</v>
      </c>
      <c r="AF70" s="64">
        <v>1</v>
      </c>
      <c r="AG70" s="64">
        <v>1</v>
      </c>
      <c r="AH70" s="64">
        <v>1</v>
      </c>
      <c r="AI70" s="36">
        <f t="shared" si="6"/>
        <v>92.929009300723678</v>
      </c>
      <c r="AJ70" s="47">
        <f t="shared" si="7"/>
        <v>79.166139211436445</v>
      </c>
      <c r="AK70" s="48">
        <f t="shared" si="8"/>
        <v>68.81435044643608</v>
      </c>
      <c r="AL70" s="49">
        <f t="shared" si="9"/>
        <v>55.051480357148861</v>
      </c>
      <c r="AM70" s="35" t="str">
        <f t="shared" si="5"/>
        <v>HEB 500</v>
      </c>
    </row>
    <row r="71" spans="1:39">
      <c r="A71" s="40" t="s">
        <v>102</v>
      </c>
      <c r="B71" s="32">
        <f>IF(C71&lt;=2,Q71,P71)*IF(head!F$57="S235",235,IF(head!F$57="S275",275,IF(head!F$57="S355",355,IF(head!F$57="S420",420,460))))/1000000</f>
        <v>2214.7007723113138</v>
      </c>
      <c r="C71" s="57">
        <f>IF(head!$F$57="S235",Y71,IF(head!$F$57="S275",Z71,IF(head!$F$57="S355",AA71,IF(head!$F$57="S420",AB71,AC71))))</f>
        <v>1</v>
      </c>
      <c r="D71" s="53">
        <f>IF(E71&lt;=2,Q71,P71)*IF(head!F$57="S235",235,IF(head!F$57="S275",275,IF(head!F$57="S355",355,IF(head!F$57="S420",420,460))))/(head!$G$31*head!$G$32*1000000)</f>
        <v>2605.5303203662515</v>
      </c>
      <c r="E71" s="58">
        <f>IF(head!$F$57="S235",AD71,IF(head!$F$57="S275",AE71,IF(head!$F$57="S355",AF71,IF(head!$F$57="S420",AG71,AH71))))</f>
        <v>1</v>
      </c>
      <c r="F71" s="41">
        <v>500</v>
      </c>
      <c r="G71" s="41">
        <v>300</v>
      </c>
      <c r="H71" s="41">
        <v>14.5</v>
      </c>
      <c r="I71" s="41">
        <v>28</v>
      </c>
      <c r="J71" s="41">
        <v>27</v>
      </c>
      <c r="K71" s="42">
        <v>187.33066480093439</v>
      </c>
      <c r="L71" s="43">
        <v>190.91023164426434</v>
      </c>
      <c r="M71" s="43">
        <v>23863.778955533042</v>
      </c>
      <c r="N71" s="43">
        <v>2.124646003293849</v>
      </c>
      <c r="O71" s="44">
        <v>1071757883.9987898</v>
      </c>
      <c r="P71" s="43">
        <v>4287031.5359951593</v>
      </c>
      <c r="Q71" s="43">
        <v>4814566.8963289429</v>
      </c>
      <c r="R71" s="45">
        <v>211.92331299272524</v>
      </c>
      <c r="S71" s="43">
        <v>126239215.16567087</v>
      </c>
      <c r="T71" s="43">
        <v>841594.76777113916</v>
      </c>
      <c r="U71" s="43">
        <v>1291648.6792270066</v>
      </c>
      <c r="V71" s="43">
        <v>72.732335624376475</v>
      </c>
      <c r="W71" s="44">
        <v>5499584.2354314895</v>
      </c>
      <c r="X71" s="46">
        <v>6920593372684.4297</v>
      </c>
      <c r="Y71" s="64">
        <v>1</v>
      </c>
      <c r="Z71" s="64">
        <v>1</v>
      </c>
      <c r="AA71" s="64">
        <v>1</v>
      </c>
      <c r="AB71" s="64">
        <v>1</v>
      </c>
      <c r="AC71" s="64">
        <v>1</v>
      </c>
      <c r="AD71" s="65">
        <v>1</v>
      </c>
      <c r="AE71" s="64">
        <v>1</v>
      </c>
      <c r="AF71" s="64">
        <v>1</v>
      </c>
      <c r="AG71" s="64">
        <v>1</v>
      </c>
      <c r="AH71" s="64">
        <v>1</v>
      </c>
      <c r="AI71" s="36">
        <f t="shared" si="6"/>
        <v>89.032252907338886</v>
      </c>
      <c r="AJ71" s="47">
        <f t="shared" si="7"/>
        <v>76.460899453260637</v>
      </c>
      <c r="AK71" s="48">
        <f t="shared" si="8"/>
        <v>67.047218421750628</v>
      </c>
      <c r="AL71" s="49">
        <f t="shared" si="9"/>
        <v>54.475864967672386</v>
      </c>
      <c r="AM71" s="35" t="str">
        <f t="shared" si="5"/>
        <v>HEB 550</v>
      </c>
    </row>
    <row r="72" spans="1:39">
      <c r="A72" s="40" t="s">
        <v>103</v>
      </c>
      <c r="B72" s="32">
        <f>IF(C72&lt;=2,Q72,P72)*IF(head!F$57="S235",235,IF(head!F$57="S275",275,IF(head!F$57="S355",355,IF(head!F$57="S420",420,460))))/1000000</f>
        <v>2571.6794919803988</v>
      </c>
      <c r="C72" s="57">
        <f>IF(head!$F$57="S235",Y72,IF(head!$F$57="S275",Z72,IF(head!$F$57="S355",AA72,IF(head!$F$57="S420",AB72,AC72))))</f>
        <v>1</v>
      </c>
      <c r="D72" s="53">
        <f>IF(E72&lt;=2,Q72,P72)*IF(head!F$57="S235",235,IF(head!F$57="S275",275,IF(head!F$57="S355",355,IF(head!F$57="S420",420,460))))/(head!$G$31*head!$G$32*1000000)</f>
        <v>3025.5052846828221</v>
      </c>
      <c r="E72" s="58">
        <f>IF(head!$F$57="S235",AD72,IF(head!$F$57="S275",AE72,IF(head!$F$57="S355",AF72,IF(head!$F$57="S420",AG72,AH72))))</f>
        <v>1</v>
      </c>
      <c r="F72" s="41">
        <v>550</v>
      </c>
      <c r="G72" s="41">
        <v>300</v>
      </c>
      <c r="H72" s="41">
        <v>15</v>
      </c>
      <c r="I72" s="41">
        <v>29</v>
      </c>
      <c r="J72" s="41">
        <v>27</v>
      </c>
      <c r="K72" s="42">
        <v>199.43536480093437</v>
      </c>
      <c r="L72" s="43">
        <v>203.24623164426433</v>
      </c>
      <c r="M72" s="43">
        <v>25405.778955533042</v>
      </c>
      <c r="N72" s="43">
        <v>2.2236460032938488</v>
      </c>
      <c r="O72" s="44">
        <v>1366908775.7009661</v>
      </c>
      <c r="P72" s="43">
        <v>4970577.3661853317</v>
      </c>
      <c r="Q72" s="43">
        <v>5590607.5912617361</v>
      </c>
      <c r="R72" s="45">
        <v>231.95487700791068</v>
      </c>
      <c r="S72" s="43">
        <v>130768985.61646912</v>
      </c>
      <c r="T72" s="43">
        <v>871793.23744312732</v>
      </c>
      <c r="U72" s="43">
        <v>1341142.3739658899</v>
      </c>
      <c r="V72" s="43">
        <v>71.744088097581951</v>
      </c>
      <c r="W72" s="44">
        <v>6123446.1677798796</v>
      </c>
      <c r="X72" s="46">
        <v>8743728728295.6006</v>
      </c>
      <c r="Y72" s="64">
        <v>1</v>
      </c>
      <c r="Z72" s="64">
        <v>1</v>
      </c>
      <c r="AA72" s="64">
        <v>1</v>
      </c>
      <c r="AB72" s="64">
        <v>1</v>
      </c>
      <c r="AC72" s="64">
        <v>1</v>
      </c>
      <c r="AD72" s="65">
        <v>1</v>
      </c>
      <c r="AE72" s="64">
        <v>1</v>
      </c>
      <c r="AF72" s="64">
        <v>1</v>
      </c>
      <c r="AG72" s="64">
        <v>1</v>
      </c>
      <c r="AH72" s="64">
        <v>1</v>
      </c>
      <c r="AI72" s="36">
        <f t="shared" si="6"/>
        <v>87.525204686139645</v>
      </c>
      <c r="AJ72" s="47">
        <f t="shared" si="7"/>
        <v>75.716867672538115</v>
      </c>
      <c r="AK72" s="48">
        <f t="shared" si="8"/>
        <v>66.913909743742096</v>
      </c>
      <c r="AL72" s="49">
        <f t="shared" si="9"/>
        <v>55.105572730140537</v>
      </c>
      <c r="AM72" s="35" t="str">
        <f t="shared" si="5"/>
        <v>HEB 600</v>
      </c>
    </row>
    <row r="73" spans="1:39">
      <c r="A73" s="40" t="s">
        <v>104</v>
      </c>
      <c r="B73" s="32">
        <f>IF(C73&lt;=2,Q73,P73)*IF(head!F$57="S235",235,IF(head!F$57="S275",275,IF(head!F$57="S355",355,IF(head!F$57="S420",420,460))))/1000000</f>
        <v>2955.5626916494839</v>
      </c>
      <c r="C73" s="57">
        <f>IF(head!$F$57="S235",Y73,IF(head!$F$57="S275",Z73,IF(head!$F$57="S355",AA73,IF(head!$F$57="S420",AB73,AC73))))</f>
        <v>1</v>
      </c>
      <c r="D73" s="53">
        <f>IF(E73&lt;=2,Q73,P73)*IF(head!F$57="S235",235,IF(head!F$57="S275",275,IF(head!F$57="S355",355,IF(head!F$57="S420",420,460))))/(head!$G$31*head!$G$32*1000000)</f>
        <v>3477.1325784111573</v>
      </c>
      <c r="E73" s="58">
        <f>IF(head!$F$57="S235",AD73,IF(head!$F$57="S275",AE73,IF(head!$F$57="S355",AF73,IF(head!$F$57="S420",AG73,AH73))))</f>
        <v>1</v>
      </c>
      <c r="F73" s="41">
        <v>600</v>
      </c>
      <c r="G73" s="41">
        <v>300</v>
      </c>
      <c r="H73" s="41">
        <v>15.5</v>
      </c>
      <c r="I73" s="41">
        <v>30</v>
      </c>
      <c r="J73" s="41">
        <v>27</v>
      </c>
      <c r="K73" s="42">
        <v>211.91686480093438</v>
      </c>
      <c r="L73" s="43">
        <v>215.96623164426435</v>
      </c>
      <c r="M73" s="43">
        <v>26995.778955533042</v>
      </c>
      <c r="N73" s="43">
        <v>2.322646003293849</v>
      </c>
      <c r="O73" s="44">
        <v>1710411108.7599163</v>
      </c>
      <c r="P73" s="43">
        <v>5701370.3625330543</v>
      </c>
      <c r="Q73" s="43">
        <v>6425136.2861945294</v>
      </c>
      <c r="R73" s="45">
        <v>251.71107390822721</v>
      </c>
      <c r="S73" s="43">
        <v>135302457.78963676</v>
      </c>
      <c r="T73" s="43">
        <v>902016.38526424509</v>
      </c>
      <c r="U73" s="43">
        <v>1391057.5687047732</v>
      </c>
      <c r="V73" s="43">
        <v>70.795379009089743</v>
      </c>
      <c r="W73" s="44">
        <v>6796319.8320831796</v>
      </c>
      <c r="X73" s="46">
        <v>10837617089611</v>
      </c>
      <c r="Y73" s="64">
        <v>1</v>
      </c>
      <c r="Z73" s="64">
        <v>1</v>
      </c>
      <c r="AA73" s="64">
        <v>1</v>
      </c>
      <c r="AB73" s="64">
        <v>1</v>
      </c>
      <c r="AC73" s="64">
        <v>1</v>
      </c>
      <c r="AD73" s="65">
        <v>1</v>
      </c>
      <c r="AE73" s="64">
        <v>1</v>
      </c>
      <c r="AF73" s="64">
        <v>1</v>
      </c>
      <c r="AG73" s="64">
        <v>1</v>
      </c>
      <c r="AH73" s="64">
        <v>1</v>
      </c>
      <c r="AI73" s="36">
        <f t="shared" si="6"/>
        <v>86.037376699508073</v>
      </c>
      <c r="AJ73" s="47">
        <f t="shared" si="7"/>
        <v>74.924528261455791</v>
      </c>
      <c r="AK73" s="48">
        <f t="shared" si="8"/>
        <v>66.677090628313692</v>
      </c>
      <c r="AL73" s="49">
        <f t="shared" si="9"/>
        <v>55.564242190261403</v>
      </c>
      <c r="AM73" s="35" t="str">
        <f t="shared" si="5"/>
        <v>HEB 650</v>
      </c>
    </row>
    <row r="74" spans="1:39">
      <c r="A74" s="40" t="s">
        <v>105</v>
      </c>
      <c r="B74" s="32">
        <f>IF(C74&lt;=2,Q74,P74)*IF(head!F$57="S235",235,IF(head!F$57="S275",275,IF(head!F$57="S355",355,IF(head!F$57="S420",420,460))))/1000000</f>
        <v>3367.1452513185682</v>
      </c>
      <c r="C74" s="57">
        <f>IF(head!$F$57="S235",Y74,IF(head!$F$57="S275",Z74,IF(head!$F$57="S355",AA74,IF(head!$F$57="S420",AB74,AC74))))</f>
        <v>1</v>
      </c>
      <c r="D74" s="53">
        <f>IF(E74&lt;=2,Q74,P74)*IF(head!F$57="S235",235,IF(head!F$57="S275",275,IF(head!F$57="S355",355,IF(head!F$57="S420",420,460))))/(head!$G$31*head!$G$32*1000000)</f>
        <v>3961.3473544924332</v>
      </c>
      <c r="E74" s="58">
        <f>IF(head!$F$57="S235",AD74,IF(head!$F$57="S275",AE74,IF(head!$F$57="S355",AF74,IF(head!$F$57="S420",AG74,AH74))))</f>
        <v>1</v>
      </c>
      <c r="F74" s="41">
        <v>650</v>
      </c>
      <c r="G74" s="41">
        <v>300</v>
      </c>
      <c r="H74" s="41">
        <v>16</v>
      </c>
      <c r="I74" s="41">
        <v>31</v>
      </c>
      <c r="J74" s="41">
        <v>27</v>
      </c>
      <c r="K74" s="42">
        <v>224.77516480093436</v>
      </c>
      <c r="L74" s="43">
        <v>229.07023164426434</v>
      </c>
      <c r="M74" s="43">
        <v>28633.778955533042</v>
      </c>
      <c r="N74" s="43">
        <v>2.4216460032938487</v>
      </c>
      <c r="O74" s="44">
        <v>2106160995.1756408</v>
      </c>
      <c r="P74" s="43">
        <v>6480495.3697712021</v>
      </c>
      <c r="Q74" s="43">
        <v>7319880.9811273217</v>
      </c>
      <c r="R74" s="45">
        <v>271.210468429294</v>
      </c>
      <c r="S74" s="43">
        <v>139839938.43517387</v>
      </c>
      <c r="T74" s="43">
        <v>932266.25623449241</v>
      </c>
      <c r="U74" s="43">
        <v>1441412.2634436565</v>
      </c>
      <c r="V74" s="43">
        <v>69.883762330333937</v>
      </c>
      <c r="W74" s="44">
        <v>7520468.0278165806</v>
      </c>
      <c r="X74" s="46">
        <v>13218516382348.199</v>
      </c>
      <c r="Y74" s="64">
        <v>1</v>
      </c>
      <c r="Z74" s="64">
        <v>1</v>
      </c>
      <c r="AA74" s="64">
        <v>1</v>
      </c>
      <c r="AB74" s="64">
        <v>1</v>
      </c>
      <c r="AC74" s="64">
        <v>1</v>
      </c>
      <c r="AD74" s="65">
        <v>1</v>
      </c>
      <c r="AE74" s="64">
        <v>1</v>
      </c>
      <c r="AF74" s="64">
        <v>1</v>
      </c>
      <c r="AG74" s="64">
        <v>1</v>
      </c>
      <c r="AH74" s="64">
        <v>1</v>
      </c>
      <c r="AI74" s="36">
        <f t="shared" si="6"/>
        <v>84.573049441170681</v>
      </c>
      <c r="AJ74" s="47">
        <f t="shared" si="7"/>
        <v>74.095913312338865</v>
      </c>
      <c r="AK74" s="48">
        <f t="shared" si="8"/>
        <v>66.355195482601644</v>
      </c>
      <c r="AL74" s="49">
        <f t="shared" si="9"/>
        <v>55.8780593537698</v>
      </c>
      <c r="AM74" s="35" t="str">
        <f t="shared" si="5"/>
        <v>HEB 700</v>
      </c>
    </row>
    <row r="75" spans="1:39">
      <c r="A75" s="40" t="s">
        <v>106</v>
      </c>
      <c r="B75" s="32">
        <f>IF(C75&lt;=2,Q75,P75)*IF(head!F$57="S235",235,IF(head!F$57="S275",275,IF(head!F$57="S355",355,IF(head!F$57="S420",420,460))))/1000000</f>
        <v>3830.4805709876528</v>
      </c>
      <c r="C75" s="57">
        <f>IF(head!$F$57="S235",Y75,IF(head!$F$57="S275",Z75,IF(head!$F$57="S355",AA75,IF(head!$F$57="S420",AB75,AC75))))</f>
        <v>1</v>
      </c>
      <c r="D75" s="53">
        <f>IF(E75&lt;=2,Q75,P75)*IF(head!F$57="S235",235,IF(head!F$57="S275",275,IF(head!F$57="S355",355,IF(head!F$57="S420",420,460))))/(head!$G$31*head!$G$32*1000000)</f>
        <v>4506.4477305737091</v>
      </c>
      <c r="E75" s="58">
        <f>IF(head!$F$57="S235",AD75,IF(head!$F$57="S275",AE75,IF(head!$F$57="S355",AF75,IF(head!$F$57="S420",AG75,AH75))))</f>
        <v>1</v>
      </c>
      <c r="F75" s="41">
        <v>700</v>
      </c>
      <c r="G75" s="41">
        <v>300</v>
      </c>
      <c r="H75" s="41">
        <v>17</v>
      </c>
      <c r="I75" s="41">
        <v>32</v>
      </c>
      <c r="J75" s="41">
        <v>27</v>
      </c>
      <c r="K75" s="42">
        <v>240.50656480093437</v>
      </c>
      <c r="L75" s="43">
        <v>245.10223164426435</v>
      </c>
      <c r="M75" s="43">
        <v>30637.778955533042</v>
      </c>
      <c r="N75" s="43">
        <v>2.519646003293849</v>
      </c>
      <c r="O75" s="44">
        <v>2568884282.9481392</v>
      </c>
      <c r="P75" s="43">
        <v>7339669.3798518265</v>
      </c>
      <c r="Q75" s="43">
        <v>8327131.676060115</v>
      </c>
      <c r="R75" s="45">
        <v>289.56337611007137</v>
      </c>
      <c r="S75" s="43">
        <v>144408560.14335638</v>
      </c>
      <c r="T75" s="43">
        <v>962723.73428904254</v>
      </c>
      <c r="U75" s="43">
        <v>1495044.1529214229</v>
      </c>
      <c r="V75" s="43">
        <v>68.65431362709468</v>
      </c>
      <c r="W75" s="44">
        <v>8417791.3814453799</v>
      </c>
      <c r="X75" s="46">
        <v>15899734008012.5</v>
      </c>
      <c r="Y75" s="64">
        <v>1</v>
      </c>
      <c r="Z75" s="64">
        <v>1</v>
      </c>
      <c r="AA75" s="64">
        <v>1</v>
      </c>
      <c r="AB75" s="64">
        <v>1</v>
      </c>
      <c r="AC75" s="64">
        <v>1</v>
      </c>
      <c r="AD75" s="65">
        <v>1</v>
      </c>
      <c r="AE75" s="64">
        <v>1</v>
      </c>
      <c r="AF75" s="64">
        <v>1</v>
      </c>
      <c r="AG75" s="64">
        <v>1</v>
      </c>
      <c r="AH75" s="64">
        <v>1</v>
      </c>
      <c r="AI75" s="36">
        <f t="shared" si="6"/>
        <v>82.239838826136989</v>
      </c>
      <c r="AJ75" s="47">
        <f t="shared" si="7"/>
        <v>72.448006316495437</v>
      </c>
      <c r="AK75" s="48">
        <f t="shared" si="8"/>
        <v>65.278883397610301</v>
      </c>
      <c r="AL75" s="49">
        <f t="shared" si="9"/>
        <v>55.487050887968749</v>
      </c>
      <c r="AM75" s="35" t="str">
        <f t="shared" si="5"/>
        <v>HEB 800</v>
      </c>
    </row>
    <row r="76" spans="1:39">
      <c r="A76" s="40" t="s">
        <v>107</v>
      </c>
      <c r="B76" s="32">
        <f>IF(C76&lt;=2,Q76,P76)*IF(head!F$57="S235",235,IF(head!F$57="S275",275,IF(head!F$57="S355",355,IF(head!F$57="S420",420,460))))/1000000</f>
        <v>4705.2077261564591</v>
      </c>
      <c r="C76" s="57">
        <f>IF(head!$F$57="S235",Y76,IF(head!$F$57="S275",Z76,IF(head!$F$57="S355",AA76,IF(head!$F$57="S420",AB76,AC76))))</f>
        <v>1</v>
      </c>
      <c r="D76" s="53">
        <f>IF(E76&lt;=2,Q76,P76)*IF(head!F$57="S235",235,IF(head!F$57="S275",275,IF(head!F$57="S355",355,IF(head!F$57="S420",420,460))))/(head!$G$31*head!$G$32*1000000)</f>
        <v>5535.5385013605401</v>
      </c>
      <c r="E76" s="58">
        <f>IF(head!$F$57="S235",AD76,IF(head!$F$57="S275",AE76,IF(head!$F$57="S355",AF76,IF(head!$F$57="S420",AG76,AH76))))</f>
        <v>1</v>
      </c>
      <c r="F76" s="41">
        <v>800</v>
      </c>
      <c r="G76" s="41">
        <v>300</v>
      </c>
      <c r="H76" s="41">
        <v>17.5</v>
      </c>
      <c r="I76" s="41">
        <v>33</v>
      </c>
      <c r="J76" s="41">
        <v>30</v>
      </c>
      <c r="K76" s="42">
        <v>262.32789790238814</v>
      </c>
      <c r="L76" s="43">
        <v>267.34053289415351</v>
      </c>
      <c r="M76" s="43">
        <v>33417.566611769187</v>
      </c>
      <c r="N76" s="43">
        <v>2.7134955592153873</v>
      </c>
      <c r="O76" s="44">
        <v>3590836246.6863294</v>
      </c>
      <c r="P76" s="43">
        <v>8977090.6167158242</v>
      </c>
      <c r="Q76" s="43">
        <v>10228712.448166216</v>
      </c>
      <c r="R76" s="45">
        <v>327.8010867134447</v>
      </c>
      <c r="S76" s="43">
        <v>149036699.64479938</v>
      </c>
      <c r="T76" s="43">
        <v>993577.99763199582</v>
      </c>
      <c r="U76" s="43">
        <v>1553133.8312060561</v>
      </c>
      <c r="V76" s="43">
        <v>66.781966156609442</v>
      </c>
      <c r="W76" s="44">
        <v>9622068.7727810405</v>
      </c>
      <c r="X76" s="46">
        <v>21616694189768.301</v>
      </c>
      <c r="Y76" s="64">
        <v>1</v>
      </c>
      <c r="Z76" s="64">
        <v>1</v>
      </c>
      <c r="AA76" s="64">
        <v>1</v>
      </c>
      <c r="AB76" s="64">
        <v>1</v>
      </c>
      <c r="AC76" s="64">
        <v>1</v>
      </c>
      <c r="AD76" s="65">
        <v>1</v>
      </c>
      <c r="AE76" s="64">
        <v>1</v>
      </c>
      <c r="AF76" s="64">
        <v>1</v>
      </c>
      <c r="AG76" s="64">
        <v>1</v>
      </c>
      <c r="AH76" s="64">
        <v>1</v>
      </c>
      <c r="AI76" s="36">
        <f t="shared" si="6"/>
        <v>81.199675330630853</v>
      </c>
      <c r="AJ76" s="47">
        <f t="shared" si="7"/>
        <v>72.222360989186711</v>
      </c>
      <c r="AK76" s="48">
        <f t="shared" si="8"/>
        <v>65.833638503923609</v>
      </c>
      <c r="AL76" s="49">
        <f t="shared" si="9"/>
        <v>56.856324162479481</v>
      </c>
      <c r="AM76" s="35" t="str">
        <f t="shared" si="5"/>
        <v>HEB 900</v>
      </c>
    </row>
    <row r="77" spans="1:39">
      <c r="A77" s="40" t="s">
        <v>108</v>
      </c>
      <c r="B77" s="32">
        <f>IF(C77&lt;=2,Q77,P77)*IF(head!F$57="S235",235,IF(head!F$57="S275",275,IF(head!F$57="S355",355,IF(head!F$57="S420",420,460))))/1000000</f>
        <v>5788.6862969443227</v>
      </c>
      <c r="C77" s="57">
        <f>IF(head!$F$57="S235",Y77,IF(head!$F$57="S275",Z77,IF(head!$F$57="S355",AA77,IF(head!$F$57="S420",AB77,AC77))))</f>
        <v>1</v>
      </c>
      <c r="D77" s="53">
        <f>IF(E77&lt;=2,Q77,P77)*IF(head!F$57="S235",235,IF(head!F$57="S275",275,IF(head!F$57="S355",355,IF(head!F$57="S420",420,460))))/(head!$G$31*head!$G$32*1000000)</f>
        <v>6810.2191728756734</v>
      </c>
      <c r="E77" s="58">
        <f>IF(head!$F$57="S235",AD77,IF(head!$F$57="S275",AE77,IF(head!$F$57="S355",AF77,IF(head!$F$57="S420",AG77,AH77))))</f>
        <v>1</v>
      </c>
      <c r="F77" s="41">
        <v>900</v>
      </c>
      <c r="G77" s="41">
        <v>300</v>
      </c>
      <c r="H77" s="41">
        <v>18.5</v>
      </c>
      <c r="I77" s="41">
        <v>35</v>
      </c>
      <c r="J77" s="41">
        <v>30</v>
      </c>
      <c r="K77" s="42">
        <v>291.45139790238812</v>
      </c>
      <c r="L77" s="43">
        <v>297.02053289415346</v>
      </c>
      <c r="M77" s="43">
        <v>37127.566611769187</v>
      </c>
      <c r="N77" s="43">
        <v>2.9114955592153873</v>
      </c>
      <c r="O77" s="44">
        <v>4940647471.8504686</v>
      </c>
      <c r="P77" s="43">
        <v>10979216.604112152</v>
      </c>
      <c r="Q77" s="43">
        <v>12584100.645531137</v>
      </c>
      <c r="R77" s="45">
        <v>364.79064341850341</v>
      </c>
      <c r="S77" s="43">
        <v>158158952.03432503</v>
      </c>
      <c r="T77" s="43">
        <v>1054393.0135621668</v>
      </c>
      <c r="U77" s="43">
        <v>1658340.1145119406</v>
      </c>
      <c r="V77" s="43">
        <v>65.267750752546405</v>
      </c>
      <c r="W77" s="44">
        <v>11545405.479068199</v>
      </c>
      <c r="X77" s="46">
        <v>29195795646917.398</v>
      </c>
      <c r="Y77" s="64">
        <v>1</v>
      </c>
      <c r="Z77" s="64">
        <v>1</v>
      </c>
      <c r="AA77" s="64">
        <v>1</v>
      </c>
      <c r="AB77" s="64">
        <v>1</v>
      </c>
      <c r="AC77" s="64">
        <v>1</v>
      </c>
      <c r="AD77" s="65">
        <v>1</v>
      </c>
      <c r="AE77" s="64">
        <v>1</v>
      </c>
      <c r="AF77" s="64">
        <v>1</v>
      </c>
      <c r="AG77" s="64">
        <v>1</v>
      </c>
      <c r="AH77" s="64">
        <v>1</v>
      </c>
      <c r="AI77" s="36">
        <f t="shared" si="6"/>
        <v>78.418701383259062</v>
      </c>
      <c r="AJ77" s="47">
        <f t="shared" si="7"/>
        <v>70.338451925032999</v>
      </c>
      <c r="AK77" s="48">
        <f t="shared" si="8"/>
        <v>64.641995665808494</v>
      </c>
      <c r="AL77" s="49">
        <f t="shared" si="9"/>
        <v>56.561746207582431</v>
      </c>
      <c r="AM77" s="35" t="str">
        <f t="shared" si="5"/>
        <v>HEB 1000</v>
      </c>
    </row>
    <row r="78" spans="1:39">
      <c r="A78" s="40" t="s">
        <v>109</v>
      </c>
      <c r="B78" s="32">
        <f>IF(C78&lt;=2,Q78,P78)*IF(head!F$57="S235",235,IF(head!F$57="S275",275,IF(head!F$57="S355",355,IF(head!F$57="S420",420,460))))/1000000</f>
        <v>6833.3542383736012</v>
      </c>
      <c r="C78" s="57">
        <f>IF(head!$F$57="S235",Y78,IF(head!$F$57="S275",Z78,IF(head!$F$57="S355",AA78,IF(head!$F$57="S420",AB78,AC78))))</f>
        <v>1</v>
      </c>
      <c r="D78" s="53">
        <f>IF(E78&lt;=2,Q78,P78)*IF(head!F$57="S235",235,IF(head!F$57="S275",275,IF(head!F$57="S355",355,IF(head!F$57="S420",420,460))))/(head!$G$31*head!$G$32*1000000)</f>
        <v>8039.2402804395306</v>
      </c>
      <c r="E78" s="58">
        <f>IF(head!$F$57="S235",AD78,IF(head!$F$57="S275",AE78,IF(head!$F$57="S355",AF78,IF(head!$F$57="S420",AG78,AH78))))</f>
        <v>2</v>
      </c>
      <c r="F78" s="41">
        <v>1000</v>
      </c>
      <c r="G78" s="41">
        <v>300</v>
      </c>
      <c r="H78" s="41">
        <v>19</v>
      </c>
      <c r="I78" s="41">
        <v>36</v>
      </c>
      <c r="J78" s="41">
        <v>30</v>
      </c>
      <c r="K78" s="42">
        <v>314.03584790238807</v>
      </c>
      <c r="L78" s="43">
        <v>320.03653289415348</v>
      </c>
      <c r="M78" s="43">
        <v>40004.566611769187</v>
      </c>
      <c r="N78" s="43">
        <v>3.1104955592153876</v>
      </c>
      <c r="O78" s="44">
        <v>6447482941.5473776</v>
      </c>
      <c r="P78" s="43">
        <v>12894965.883094756</v>
      </c>
      <c r="Q78" s="43">
        <v>14855117.909507828</v>
      </c>
      <c r="R78" s="45">
        <v>401.45818421055304</v>
      </c>
      <c r="S78" s="43">
        <v>162757653.87699425</v>
      </c>
      <c r="T78" s="43">
        <v>1085051.0258466282</v>
      </c>
      <c r="U78" s="43">
        <v>1716268.381164883</v>
      </c>
      <c r="V78" s="43">
        <v>63.784613098036012</v>
      </c>
      <c r="W78" s="44">
        <v>12718132.8050036</v>
      </c>
      <c r="X78" s="46">
        <v>37339770699416.703</v>
      </c>
      <c r="Y78" s="64">
        <v>1</v>
      </c>
      <c r="Z78" s="64">
        <v>1</v>
      </c>
      <c r="AA78" s="64">
        <v>1</v>
      </c>
      <c r="AB78" s="64">
        <v>1</v>
      </c>
      <c r="AC78" s="64">
        <v>1</v>
      </c>
      <c r="AD78" s="65">
        <v>1</v>
      </c>
      <c r="AE78" s="64">
        <v>1</v>
      </c>
      <c r="AF78" s="64">
        <v>1</v>
      </c>
      <c r="AG78" s="64">
        <v>1</v>
      </c>
      <c r="AH78" s="64">
        <v>2</v>
      </c>
      <c r="AI78" s="36">
        <f t="shared" si="6"/>
        <v>77.753512227783816</v>
      </c>
      <c r="AJ78" s="47">
        <f t="shared" si="7"/>
        <v>70.254368369748832</v>
      </c>
      <c r="AK78" s="48">
        <f t="shared" si="8"/>
        <v>64.992580102969796</v>
      </c>
      <c r="AL78" s="49">
        <f t="shared" si="9"/>
        <v>57.493436244934827</v>
      </c>
      <c r="AM78" s="35" t="s">
        <v>49</v>
      </c>
    </row>
    <row r="79" spans="1:39">
      <c r="A79" s="86" t="s">
        <v>22</v>
      </c>
      <c r="B79" s="87">
        <v>0</v>
      </c>
      <c r="C79" s="88" t="s">
        <v>64</v>
      </c>
      <c r="D79" s="89" t="s">
        <v>62</v>
      </c>
      <c r="E79" s="90" t="s">
        <v>63</v>
      </c>
      <c r="F79" s="91" t="s">
        <v>13</v>
      </c>
      <c r="G79" s="91" t="s">
        <v>13</v>
      </c>
      <c r="H79" s="91" t="s">
        <v>22</v>
      </c>
      <c r="I79" s="91" t="s">
        <v>22</v>
      </c>
      <c r="J79" s="91" t="s">
        <v>22</v>
      </c>
      <c r="K79" s="92" t="s">
        <v>22</v>
      </c>
      <c r="L79" s="93" t="s">
        <v>22</v>
      </c>
      <c r="M79" s="93" t="s">
        <v>22</v>
      </c>
      <c r="N79" s="93" t="s">
        <v>22</v>
      </c>
      <c r="O79" s="94" t="s">
        <v>22</v>
      </c>
      <c r="P79" s="93" t="s">
        <v>22</v>
      </c>
      <c r="Q79" s="93" t="s">
        <v>22</v>
      </c>
      <c r="R79" s="95" t="s">
        <v>22</v>
      </c>
      <c r="S79" s="93" t="s">
        <v>22</v>
      </c>
      <c r="T79" s="93" t="s">
        <v>22</v>
      </c>
      <c r="U79" s="93" t="s">
        <v>22</v>
      </c>
      <c r="V79" s="93" t="s">
        <v>22</v>
      </c>
      <c r="W79" s="94" t="s">
        <v>22</v>
      </c>
      <c r="X79" s="96" t="s">
        <v>22</v>
      </c>
      <c r="Y79" s="97"/>
      <c r="Z79" s="97"/>
      <c r="AA79" s="97"/>
      <c r="AB79" s="97"/>
      <c r="AC79" s="97"/>
      <c r="AD79" s="98"/>
      <c r="AE79" s="97"/>
      <c r="AF79" s="97"/>
      <c r="AG79" s="97"/>
      <c r="AH79" s="97"/>
      <c r="AI79" s="99"/>
      <c r="AJ79" s="100"/>
      <c r="AK79" s="101"/>
      <c r="AL79" s="102"/>
      <c r="AM79" s="103" t="str">
        <f t="shared" ref="AM79:AM102" si="10">A80</f>
        <v>HEM 100</v>
      </c>
    </row>
    <row r="80" spans="1:39">
      <c r="A80" s="86" t="s">
        <v>110</v>
      </c>
      <c r="B80" s="87">
        <f>IF(C80&lt;=2,Q80,P80)*IF(head!F$57="S235",235,IF(head!F$57="S275",275,IF(head!F$57="S355",355,IF(head!F$57="S420",420,460))))/1000000</f>
        <v>108.47402527353393</v>
      </c>
      <c r="C80" s="88">
        <f>IF(head!$F$57="S235",Y80,IF(head!$F$57="S275",Z80,IF(head!$F$57="S355",AA80,IF(head!$F$57="S420",AB80,AC80))))</f>
        <v>1</v>
      </c>
      <c r="D80" s="89">
        <f>IF(E80&lt;=2,Q80,P80)*IF(head!F$57="S235",235,IF(head!F$57="S275",275,IF(head!F$57="S355",355,IF(head!F$57="S420",420,460))))/(head!$G$31*head!$G$32*1000000)</f>
        <v>127.61650032180462</v>
      </c>
      <c r="E80" s="90">
        <f>IF(head!$F$57="S235",AD80,IF(head!$F$57="S275",AE80,IF(head!$F$57="S355",AF80,IF(head!$F$57="S420",AG80,AH80))))</f>
        <v>1</v>
      </c>
      <c r="F80" s="91">
        <v>120</v>
      </c>
      <c r="G80" s="91">
        <v>106</v>
      </c>
      <c r="H80" s="91">
        <v>12</v>
      </c>
      <c r="I80" s="91">
        <v>20</v>
      </c>
      <c r="J80" s="91">
        <v>12</v>
      </c>
      <c r="K80" s="92">
        <v>41.790343664382092</v>
      </c>
      <c r="L80" s="93">
        <v>42.588885263064554</v>
      </c>
      <c r="M80" s="93">
        <v>5323.6106578830695</v>
      </c>
      <c r="N80" s="93">
        <v>0.61939822368615505</v>
      </c>
      <c r="O80" s="94">
        <v>11426118.072797449</v>
      </c>
      <c r="P80" s="93">
        <v>190435.30121329083</v>
      </c>
      <c r="Q80" s="93">
        <v>235813.09842072593</v>
      </c>
      <c r="R80" s="95">
        <v>46.328283640432346</v>
      </c>
      <c r="S80" s="93">
        <v>3991513.1701712385</v>
      </c>
      <c r="T80" s="93">
        <v>75311.56924851393</v>
      </c>
      <c r="U80" s="93">
        <v>116312.99184189526</v>
      </c>
      <c r="V80" s="93">
        <v>27.382029900840589</v>
      </c>
      <c r="W80" s="94">
        <v>672737.86647246405</v>
      </c>
      <c r="X80" s="96">
        <v>9429682864.8547192</v>
      </c>
      <c r="Y80" s="97">
        <v>1</v>
      </c>
      <c r="Z80" s="97">
        <v>1</v>
      </c>
      <c r="AA80" s="97">
        <v>1</v>
      </c>
      <c r="AB80" s="97">
        <v>1</v>
      </c>
      <c r="AC80" s="97">
        <v>1</v>
      </c>
      <c r="AD80" s="98">
        <v>1</v>
      </c>
      <c r="AE80" s="97">
        <v>1</v>
      </c>
      <c r="AF80" s="97">
        <v>1</v>
      </c>
      <c r="AG80" s="97">
        <v>1</v>
      </c>
      <c r="AH80" s="97">
        <v>1</v>
      </c>
      <c r="AI80" s="99">
        <f t="shared" ref="AI80:AI103" si="11">N80/M80*1000000</f>
        <v>116.34927185536486</v>
      </c>
      <c r="AJ80" s="100">
        <f t="shared" ref="AJ80:AJ103" si="12">(N80*1000-G80)/M80*1000</f>
        <v>96.43797352571751</v>
      </c>
      <c r="AK80" s="101">
        <f t="shared" si="8"/>
        <v>84.904781556609464</v>
      </c>
      <c r="AL80" s="102">
        <f t="shared" ref="AL80:AL103" si="13">(2*F80+G80)/M80*1000</f>
        <v>64.993483226962113</v>
      </c>
      <c r="AM80" s="103" t="str">
        <f t="shared" si="10"/>
        <v>HEM 120</v>
      </c>
    </row>
    <row r="81" spans="1:39">
      <c r="A81" s="86" t="s">
        <v>111</v>
      </c>
      <c r="B81" s="87">
        <f>IF(C81&lt;=2,Q81,P81)*IF(head!F$57="S235",235,IF(head!F$57="S275",275,IF(head!F$57="S355",355,IF(head!F$57="S420",420,460))))/1000000</f>
        <v>161.28156339716986</v>
      </c>
      <c r="C81" s="88">
        <f>IF(head!$F$57="S235",Y81,IF(head!$F$57="S275",Z81,IF(head!$F$57="S355",AA81,IF(head!$F$57="S420",AB81,AC81))))</f>
        <v>1</v>
      </c>
      <c r="D81" s="89">
        <f>IF(E81&lt;=2,Q81,P81)*IF(head!F$57="S235",235,IF(head!F$57="S275",275,IF(head!F$57="S355",355,IF(head!F$57="S420",420,460))))/(head!$G$31*head!$G$32*1000000)</f>
        <v>189.74301576137631</v>
      </c>
      <c r="E81" s="90">
        <f>IF(head!$F$57="S235",AD81,IF(head!$F$57="S275",AE81,IF(head!$F$57="S355",AF81,IF(head!$F$57="S420",AG81,AH81))))</f>
        <v>1</v>
      </c>
      <c r="F81" s="91">
        <v>140</v>
      </c>
      <c r="G81" s="91">
        <v>126</v>
      </c>
      <c r="H81" s="91">
        <v>12.5</v>
      </c>
      <c r="I81" s="91">
        <v>21</v>
      </c>
      <c r="J81" s="91">
        <v>12</v>
      </c>
      <c r="K81" s="92">
        <v>52.128793664382094</v>
      </c>
      <c r="L81" s="93">
        <v>53.124885263064556</v>
      </c>
      <c r="M81" s="93">
        <v>6640.6106578830695</v>
      </c>
      <c r="N81" s="93">
        <v>0.73839822368615504</v>
      </c>
      <c r="O81" s="94">
        <v>20175725.307659045</v>
      </c>
      <c r="P81" s="93">
        <v>288224.64725227206</v>
      </c>
      <c r="Q81" s="93">
        <v>350612.0943416736</v>
      </c>
      <c r="R81" s="95">
        <v>55.1201726384841</v>
      </c>
      <c r="S81" s="93">
        <v>7027750.5792583032</v>
      </c>
      <c r="T81" s="93">
        <v>111551.59649616355</v>
      </c>
      <c r="U81" s="93">
        <v>171630.01950636602</v>
      </c>
      <c r="V81" s="93">
        <v>32.531505398351378</v>
      </c>
      <c r="W81" s="94">
        <v>905220.85079599696</v>
      </c>
      <c r="X81" s="96">
        <v>23886167308.1479</v>
      </c>
      <c r="Y81" s="97">
        <v>1</v>
      </c>
      <c r="Z81" s="97">
        <v>1</v>
      </c>
      <c r="AA81" s="97">
        <v>1</v>
      </c>
      <c r="AB81" s="97">
        <v>1</v>
      </c>
      <c r="AC81" s="97">
        <v>1</v>
      </c>
      <c r="AD81" s="98">
        <v>1</v>
      </c>
      <c r="AE81" s="97">
        <v>1</v>
      </c>
      <c r="AF81" s="97">
        <v>1</v>
      </c>
      <c r="AG81" s="97">
        <v>1</v>
      </c>
      <c r="AH81" s="97">
        <v>1</v>
      </c>
      <c r="AI81" s="99">
        <f t="shared" si="11"/>
        <v>111.1943256016075</v>
      </c>
      <c r="AJ81" s="100">
        <f t="shared" si="12"/>
        <v>92.220166975032186</v>
      </c>
      <c r="AK81" s="101">
        <f t="shared" si="8"/>
        <v>80.113114201095769</v>
      </c>
      <c r="AL81" s="102">
        <f t="shared" si="13"/>
        <v>61.138955574520445</v>
      </c>
      <c r="AM81" s="103" t="str">
        <f t="shared" si="10"/>
        <v>HEM 140</v>
      </c>
    </row>
    <row r="82" spans="1:39">
      <c r="A82" s="86" t="s">
        <v>112</v>
      </c>
      <c r="B82" s="87">
        <f>IF(C82&lt;=2,Q82,P82)*IF(head!F$57="S235",235,IF(head!F$57="S275",275,IF(head!F$57="S355",355,IF(head!F$57="S420",420,460))))/1000000</f>
        <v>227.16000152080574</v>
      </c>
      <c r="C82" s="88">
        <f>IF(head!$F$57="S235",Y82,IF(head!$F$57="S275",Z82,IF(head!$F$57="S355",AA82,IF(head!$F$57="S420",AB82,AC82))))</f>
        <v>1</v>
      </c>
      <c r="D82" s="89">
        <f>IF(E82&lt;=2,Q82,P82)*IF(head!F$57="S235",235,IF(head!F$57="S275",275,IF(head!F$57="S355",355,IF(head!F$57="S420",420,460))))/(head!$G$31*head!$G$32*1000000)</f>
        <v>267.24706061271263</v>
      </c>
      <c r="E82" s="90">
        <f>IF(head!$F$57="S235",AD82,IF(head!$F$57="S275",AE82,IF(head!$F$57="S355",AF82,IF(head!$F$57="S420",AG82,AH82))))</f>
        <v>1</v>
      </c>
      <c r="F82" s="91">
        <v>160</v>
      </c>
      <c r="G82" s="91">
        <v>146</v>
      </c>
      <c r="H82" s="91">
        <v>13</v>
      </c>
      <c r="I82" s="91">
        <v>22</v>
      </c>
      <c r="J82" s="91">
        <v>12</v>
      </c>
      <c r="K82" s="92">
        <v>63.23654366438209</v>
      </c>
      <c r="L82" s="93">
        <v>64.444885263064549</v>
      </c>
      <c r="M82" s="93">
        <v>8055.6106578830695</v>
      </c>
      <c r="N82" s="93">
        <v>0.85739822368615504</v>
      </c>
      <c r="O82" s="94">
        <v>32913642.13576436</v>
      </c>
      <c r="P82" s="93">
        <v>411420.52669705456</v>
      </c>
      <c r="Q82" s="93">
        <v>493826.09026262118</v>
      </c>
      <c r="R82" s="95">
        <v>63.920290123455885</v>
      </c>
      <c r="S82" s="93">
        <v>11443446.73134427</v>
      </c>
      <c r="T82" s="93">
        <v>156759.54426498999</v>
      </c>
      <c r="U82" s="93">
        <v>240511.7971708368</v>
      </c>
      <c r="V82" s="93">
        <v>37.690265110746189</v>
      </c>
      <c r="W82" s="94">
        <v>1186239.9456684301</v>
      </c>
      <c r="X82" s="96">
        <v>52824468842.573303</v>
      </c>
      <c r="Y82" s="97">
        <v>1</v>
      </c>
      <c r="Z82" s="97">
        <v>1</v>
      </c>
      <c r="AA82" s="97">
        <v>1</v>
      </c>
      <c r="AB82" s="97">
        <v>1</v>
      </c>
      <c r="AC82" s="97">
        <v>1</v>
      </c>
      <c r="AD82" s="98">
        <v>1</v>
      </c>
      <c r="AE82" s="97">
        <v>1</v>
      </c>
      <c r="AF82" s="97">
        <v>1</v>
      </c>
      <c r="AG82" s="97">
        <v>1</v>
      </c>
      <c r="AH82" s="97">
        <v>1</v>
      </c>
      <c r="AI82" s="99">
        <f t="shared" si="11"/>
        <v>106.43491351547895</v>
      </c>
      <c r="AJ82" s="100">
        <f t="shared" si="12"/>
        <v>88.310899557936551</v>
      </c>
      <c r="AK82" s="101">
        <f t="shared" si="8"/>
        <v>75.971894123396879</v>
      </c>
      <c r="AL82" s="102">
        <f t="shared" si="13"/>
        <v>57.847880165854477</v>
      </c>
      <c r="AM82" s="103" t="str">
        <f t="shared" si="10"/>
        <v>HEM 160</v>
      </c>
    </row>
    <row r="83" spans="1:39">
      <c r="A83" s="86" t="s">
        <v>157</v>
      </c>
      <c r="B83" s="87">
        <f>IF(C83&lt;=2,Q83,P83)*IF(head!F$57="S235",235,IF(head!F$57="S275",275,IF(head!F$57="S355",355,IF(head!F$57="S420",420,460))))/1000000</f>
        <v>310.30006833837973</v>
      </c>
      <c r="C83" s="88">
        <f>IF(head!$F$57="S235",Y83,IF(head!$F$57="S275",Z83,IF(head!$F$57="S355",AA83,IF(head!$F$57="S420",AB83,AC83))))</f>
        <v>1</v>
      </c>
      <c r="D83" s="89">
        <f>IF(E83&lt;=2,Q83,P83)*IF(head!F$57="S235",235,IF(head!F$57="S275",275,IF(head!F$57="S355",355,IF(head!F$57="S420",420,460))))/(head!$G$31*head!$G$32*1000000)</f>
        <v>365.05890392750558</v>
      </c>
      <c r="E83" s="90">
        <f>IF(head!$F$57="S235",AD83,IF(head!$F$57="S275",AE83,IF(head!$F$57="S355",AF83,IF(head!$F$57="S420",AG83,AH83))))</f>
        <v>1</v>
      </c>
      <c r="F83" s="91">
        <v>180</v>
      </c>
      <c r="G83" s="91">
        <v>166</v>
      </c>
      <c r="H83" s="91">
        <v>14</v>
      </c>
      <c r="I83" s="91">
        <v>23</v>
      </c>
      <c r="J83" s="91">
        <v>15</v>
      </c>
      <c r="K83" s="92">
        <v>76.185361975597019</v>
      </c>
      <c r="L83" s="93">
        <v>77.641133223538375</v>
      </c>
      <c r="M83" s="93">
        <v>9705.1416529422968</v>
      </c>
      <c r="N83" s="93">
        <v>0.97024777960769382</v>
      </c>
      <c r="O83" s="94">
        <v>50982676.914200641</v>
      </c>
      <c r="P83" s="93">
        <v>566474.18793556269</v>
      </c>
      <c r="Q83" s="93">
        <v>674565.36595299945</v>
      </c>
      <c r="R83" s="95">
        <v>72.478697176487529</v>
      </c>
      <c r="S83" s="93">
        <v>17587662.44466874</v>
      </c>
      <c r="T83" s="93">
        <v>211899.54752612941</v>
      </c>
      <c r="U83" s="93">
        <v>325459.11636473052</v>
      </c>
      <c r="V83" s="93">
        <v>42.569948185606776</v>
      </c>
      <c r="W83" s="94">
        <v>1607956.8326556</v>
      </c>
      <c r="X83" s="96">
        <v>104697916185.724</v>
      </c>
      <c r="Y83" s="97">
        <v>1</v>
      </c>
      <c r="Z83" s="97">
        <v>1</v>
      </c>
      <c r="AA83" s="97">
        <v>1</v>
      </c>
      <c r="AB83" s="97">
        <v>1</v>
      </c>
      <c r="AC83" s="97">
        <v>1</v>
      </c>
      <c r="AD83" s="98">
        <v>1</v>
      </c>
      <c r="AE83" s="97">
        <v>1</v>
      </c>
      <c r="AF83" s="97">
        <v>1</v>
      </c>
      <c r="AG83" s="97">
        <v>1</v>
      </c>
      <c r="AH83" s="97">
        <v>1</v>
      </c>
      <c r="AI83" s="99">
        <f t="shared" si="11"/>
        <v>99.972552107319814</v>
      </c>
      <c r="AJ83" s="100">
        <f t="shared" si="12"/>
        <v>82.868216494693925</v>
      </c>
      <c r="AK83" s="101">
        <f t="shared" si="8"/>
        <v>71.302411108054997</v>
      </c>
      <c r="AL83" s="102">
        <f t="shared" si="13"/>
        <v>54.198075495429087</v>
      </c>
      <c r="AM83" s="103" t="str">
        <f t="shared" si="10"/>
        <v>HEM 180</v>
      </c>
    </row>
    <row r="84" spans="1:39">
      <c r="A84" s="86" t="s">
        <v>158</v>
      </c>
      <c r="B84" s="87">
        <f>IF(C84&lt;=2,Q84,P84)*IF(head!F$57="S235",235,IF(head!F$57="S275",275,IF(head!F$57="S355",355,IF(head!F$57="S420",420,460))))/1000000</f>
        <v>406.38591478156081</v>
      </c>
      <c r="C84" s="88">
        <f>IF(head!$F$57="S235",Y84,IF(head!$F$57="S275",Z84,IF(head!$F$57="S355",AA84,IF(head!$F$57="S420",AB84,AC84))))</f>
        <v>1</v>
      </c>
      <c r="D84" s="89">
        <f>IF(E84&lt;=2,Q84,P84)*IF(head!F$57="S235",235,IF(head!F$57="S275",275,IF(head!F$57="S355",355,IF(head!F$57="S420",420,460))))/(head!$G$31*head!$G$32*1000000)</f>
        <v>478.101076213601</v>
      </c>
      <c r="E84" s="90">
        <f>IF(head!$F$57="S235",AD84,IF(head!$F$57="S275",AE84,IF(head!$F$57="S355",AF84,IF(head!$F$57="S420",AG84,AH84))))</f>
        <v>1</v>
      </c>
      <c r="F84" s="91">
        <v>200</v>
      </c>
      <c r="G84" s="91">
        <v>186</v>
      </c>
      <c r="H84" s="91">
        <v>14.5</v>
      </c>
      <c r="I84" s="91">
        <v>24</v>
      </c>
      <c r="J84" s="91">
        <v>15</v>
      </c>
      <c r="K84" s="92">
        <v>88.902361975597017</v>
      </c>
      <c r="L84" s="93">
        <v>90.601133223538369</v>
      </c>
      <c r="M84" s="93">
        <v>11325.141652942297</v>
      </c>
      <c r="N84" s="93">
        <v>1.0892477796076938</v>
      </c>
      <c r="O84" s="94">
        <v>74831329.975242943</v>
      </c>
      <c r="P84" s="93">
        <v>748313.29975242948</v>
      </c>
      <c r="Q84" s="93">
        <v>883447.64082948014</v>
      </c>
      <c r="R84" s="95">
        <v>81.286778192084654</v>
      </c>
      <c r="S84" s="93">
        <v>25801271.324204411</v>
      </c>
      <c r="T84" s="93">
        <v>277433.0249914453</v>
      </c>
      <c r="U84" s="93">
        <v>425188.90177796612</v>
      </c>
      <c r="V84" s="93">
        <v>47.730801978489779</v>
      </c>
      <c r="W84" s="94">
        <v>2013518.5812467397</v>
      </c>
      <c r="X84" s="96">
        <v>194294045840.84698</v>
      </c>
      <c r="Y84" s="97">
        <v>1</v>
      </c>
      <c r="Z84" s="97">
        <v>1</v>
      </c>
      <c r="AA84" s="97">
        <v>1</v>
      </c>
      <c r="AB84" s="97">
        <v>1</v>
      </c>
      <c r="AC84" s="97">
        <v>1</v>
      </c>
      <c r="AD84" s="98">
        <v>1</v>
      </c>
      <c r="AE84" s="97">
        <v>1</v>
      </c>
      <c r="AF84" s="97">
        <v>1</v>
      </c>
      <c r="AG84" s="97">
        <v>1</v>
      </c>
      <c r="AH84" s="97">
        <v>1</v>
      </c>
      <c r="AI84" s="99">
        <f t="shared" si="11"/>
        <v>96.179616378105507</v>
      </c>
      <c r="AJ84" s="100">
        <f t="shared" si="12"/>
        <v>79.755980745108644</v>
      </c>
      <c r="AK84" s="101">
        <f t="shared" si="8"/>
        <v>68.166917788567588</v>
      </c>
      <c r="AL84" s="102">
        <f t="shared" si="13"/>
        <v>51.743282155570732</v>
      </c>
      <c r="AM84" s="103" t="str">
        <f t="shared" si="10"/>
        <v>HEM 200</v>
      </c>
    </row>
    <row r="85" spans="1:39">
      <c r="A85" s="86" t="s">
        <v>159</v>
      </c>
      <c r="B85" s="87">
        <f>IF(C85&lt;=2,Q85,P85)*IF(head!F$57="S235",235,IF(head!F$57="S275",275,IF(head!F$57="S355",355,IF(head!F$57="S420",420,460))))/1000000</f>
        <v>522.16776107090141</v>
      </c>
      <c r="C85" s="88">
        <f>IF(head!$F$57="S235",Y85,IF(head!$F$57="S275",Z85,IF(head!$F$57="S355",AA85,IF(head!$F$57="S420",AB85,AC85))))</f>
        <v>1</v>
      </c>
      <c r="D85" s="89">
        <f>IF(E85&lt;=2,Q85,P85)*IF(head!F$57="S235",235,IF(head!F$57="S275",275,IF(head!F$57="S355",355,IF(head!F$57="S420",420,460))))/(head!$G$31*head!$G$32*1000000)</f>
        <v>614.31501302458992</v>
      </c>
      <c r="E85" s="90">
        <f>IF(head!$F$57="S235",AD85,IF(head!$F$57="S275",AE85,IF(head!$F$57="S355",AF85,IF(head!$F$57="S420",AG85,AH85))))</f>
        <v>1</v>
      </c>
      <c r="F85" s="91">
        <v>220</v>
      </c>
      <c r="G85" s="91">
        <v>206</v>
      </c>
      <c r="H85" s="91">
        <v>15</v>
      </c>
      <c r="I85" s="91">
        <v>25</v>
      </c>
      <c r="J85" s="91">
        <v>18</v>
      </c>
      <c r="K85" s="92">
        <v>103.05577324485972</v>
      </c>
      <c r="L85" s="93">
        <v>105.02499184189526</v>
      </c>
      <c r="M85" s="93">
        <v>13128.123980236907</v>
      </c>
      <c r="N85" s="93">
        <v>1.2030973355292327</v>
      </c>
      <c r="O85" s="94">
        <v>106419093.92301598</v>
      </c>
      <c r="P85" s="93">
        <v>967446.30839105451</v>
      </c>
      <c r="Q85" s="93">
        <v>1135147.3066758728</v>
      </c>
      <c r="R85" s="95">
        <v>90.034393571866545</v>
      </c>
      <c r="S85" s="93">
        <v>36512127.993881561</v>
      </c>
      <c r="T85" s="93">
        <v>354486.67955224816</v>
      </c>
      <c r="U85" s="93">
        <v>543216.66149604111</v>
      </c>
      <c r="V85" s="93">
        <v>52.737220639287379</v>
      </c>
      <c r="W85" s="94">
        <v>2580536.3197723594</v>
      </c>
      <c r="X85" s="96">
        <v>336855059965.50403</v>
      </c>
      <c r="Y85" s="97">
        <v>1</v>
      </c>
      <c r="Z85" s="97">
        <v>1</v>
      </c>
      <c r="AA85" s="97">
        <v>1</v>
      </c>
      <c r="AB85" s="97">
        <v>1</v>
      </c>
      <c r="AC85" s="97">
        <v>1</v>
      </c>
      <c r="AD85" s="98">
        <v>1</v>
      </c>
      <c r="AE85" s="97">
        <v>1</v>
      </c>
      <c r="AF85" s="97">
        <v>1</v>
      </c>
      <c r="AG85" s="97">
        <v>1</v>
      </c>
      <c r="AH85" s="97">
        <v>1</v>
      </c>
      <c r="AI85" s="99">
        <f t="shared" si="11"/>
        <v>91.642746316257885</v>
      </c>
      <c r="AJ85" s="100">
        <f t="shared" si="12"/>
        <v>75.951243074049586</v>
      </c>
      <c r="AK85" s="101">
        <f t="shared" si="8"/>
        <v>64.898838652240158</v>
      </c>
      <c r="AL85" s="102">
        <f t="shared" si="13"/>
        <v>49.20733541003186</v>
      </c>
      <c r="AM85" s="103" t="str">
        <f t="shared" si="10"/>
        <v>HEM 220</v>
      </c>
    </row>
    <row r="86" spans="1:39">
      <c r="A86" s="86" t="s">
        <v>160</v>
      </c>
      <c r="B86" s="87">
        <f>IF(C86&lt;=2,Q86,P86)*IF(head!F$57="S235",235,IF(head!F$57="S275",275,IF(head!F$57="S355",355,IF(head!F$57="S420",420,460))))/1000000</f>
        <v>652.94581434908218</v>
      </c>
      <c r="C86" s="88">
        <f>IF(head!$F$57="S235",Y86,IF(head!$F$57="S275",Z86,IF(head!$F$57="S355",AA86,IF(head!$F$57="S420",AB86,AC86))))</f>
        <v>1</v>
      </c>
      <c r="D86" s="89">
        <f>IF(E86&lt;=2,Q86,P86)*IF(head!F$57="S235",235,IF(head!F$57="S275",275,IF(head!F$57="S355",355,IF(head!F$57="S420",420,460))))/(head!$G$31*head!$G$32*1000000)</f>
        <v>768.17154629303786</v>
      </c>
      <c r="E86" s="90">
        <f>IF(head!$F$57="S235",AD86,IF(head!$F$57="S275",AE86,IF(head!$F$57="S355",AF86,IF(head!$F$57="S420",AG86,AH86))))</f>
        <v>1</v>
      </c>
      <c r="F86" s="91">
        <v>240</v>
      </c>
      <c r="G86" s="91">
        <v>226</v>
      </c>
      <c r="H86" s="91">
        <v>15.5</v>
      </c>
      <c r="I86" s="91">
        <v>26</v>
      </c>
      <c r="J86" s="91">
        <v>18</v>
      </c>
      <c r="K86" s="92">
        <v>117.31137324485972</v>
      </c>
      <c r="L86" s="93">
        <v>119.55299184189525</v>
      </c>
      <c r="M86" s="93">
        <v>14944.123980236907</v>
      </c>
      <c r="N86" s="93">
        <v>1.3220973355292327</v>
      </c>
      <c r="O86" s="94">
        <v>146048318.8189142</v>
      </c>
      <c r="P86" s="93">
        <v>1217069.3234909517</v>
      </c>
      <c r="Q86" s="93">
        <v>1419447.4224980047</v>
      </c>
      <c r="R86" s="95">
        <v>98.858280010179158</v>
      </c>
      <c r="S86" s="93">
        <v>50120471.665711686</v>
      </c>
      <c r="T86" s="93">
        <v>443543.99704169633</v>
      </c>
      <c r="U86" s="93">
        <v>678553.44249110029</v>
      </c>
      <c r="V86" s="93">
        <v>57.912504066457807</v>
      </c>
      <c r="W86" s="94">
        <v>3136415.0974559998</v>
      </c>
      <c r="X86" s="96">
        <v>559533456310.08301</v>
      </c>
      <c r="Y86" s="97">
        <v>1</v>
      </c>
      <c r="Z86" s="97">
        <v>1</v>
      </c>
      <c r="AA86" s="97">
        <v>1</v>
      </c>
      <c r="AB86" s="97">
        <v>1</v>
      </c>
      <c r="AC86" s="97">
        <v>1</v>
      </c>
      <c r="AD86" s="98">
        <v>1</v>
      </c>
      <c r="AE86" s="97">
        <v>1</v>
      </c>
      <c r="AF86" s="97">
        <v>1</v>
      </c>
      <c r="AG86" s="97">
        <v>1</v>
      </c>
      <c r="AH86" s="97">
        <v>1</v>
      </c>
      <c r="AI86" s="99">
        <f t="shared" si="11"/>
        <v>88.469376811759673</v>
      </c>
      <c r="AJ86" s="100">
        <f t="shared" si="12"/>
        <v>73.34637593871571</v>
      </c>
      <c r="AK86" s="101">
        <f t="shared" si="8"/>
        <v>62.365649618039711</v>
      </c>
      <c r="AL86" s="102">
        <f t="shared" si="13"/>
        <v>47.242648744995748</v>
      </c>
      <c r="AM86" s="103" t="str">
        <f t="shared" si="10"/>
        <v>HEM 240</v>
      </c>
    </row>
    <row r="87" spans="1:39">
      <c r="A87" s="86" t="s">
        <v>161</v>
      </c>
      <c r="B87" s="87">
        <f>IF(C87&lt;=2,Q87,P87)*IF(head!F$57="S235",235,IF(head!F$57="S275",275,IF(head!F$57="S355",355,IF(head!F$57="S420",420,460))))/1000000</f>
        <v>973.79503417200749</v>
      </c>
      <c r="C87" s="88">
        <f>IF(head!$F$57="S235",Y87,IF(head!$F$57="S275",Z87,IF(head!$F$57="S355",AA87,IF(head!$F$57="S420",AB87,AC87))))</f>
        <v>1</v>
      </c>
      <c r="D87" s="89">
        <f>IF(E87&lt;=2,Q87,P87)*IF(head!F$57="S235",235,IF(head!F$57="S275",275,IF(head!F$57="S355",355,IF(head!F$57="S420",420,460))))/(head!$G$31*head!$G$32*1000000)</f>
        <v>1145.6412166729499</v>
      </c>
      <c r="E87" s="90">
        <f>IF(head!$F$57="S235",AD87,IF(head!$F$57="S275",AE87,IF(head!$F$57="S355",AF87,IF(head!$F$57="S420",AG87,AH87))))</f>
        <v>1</v>
      </c>
      <c r="F87" s="91">
        <v>270</v>
      </c>
      <c r="G87" s="91">
        <v>248</v>
      </c>
      <c r="H87" s="91">
        <v>18</v>
      </c>
      <c r="I87" s="91">
        <v>32</v>
      </c>
      <c r="J87" s="91">
        <v>21</v>
      </c>
      <c r="K87" s="92">
        <v>156.67467747217017</v>
      </c>
      <c r="L87" s="93">
        <v>159.66846111813521</v>
      </c>
      <c r="M87" s="93">
        <v>19958.557639766903</v>
      </c>
      <c r="N87" s="93">
        <v>1.4599468914507714</v>
      </c>
      <c r="O87" s="94">
        <v>242895047.21624359</v>
      </c>
      <c r="P87" s="93">
        <v>1799222.5719721748</v>
      </c>
      <c r="Q87" s="93">
        <v>2116945.7264608857</v>
      </c>
      <c r="R87" s="95">
        <v>110.31758687896621</v>
      </c>
      <c r="S87" s="93">
        <v>81526231.52224116</v>
      </c>
      <c r="T87" s="93">
        <v>657469.60905033199</v>
      </c>
      <c r="U87" s="93">
        <v>1005932.729193007</v>
      </c>
      <c r="V87" s="93">
        <v>63.912250104666562</v>
      </c>
      <c r="W87" s="94">
        <v>6272159.8309460804</v>
      </c>
      <c r="X87" s="96">
        <v>1123491207180.25</v>
      </c>
      <c r="Y87" s="97">
        <v>1</v>
      </c>
      <c r="Z87" s="97">
        <v>1</v>
      </c>
      <c r="AA87" s="97">
        <v>1</v>
      </c>
      <c r="AB87" s="97">
        <v>1</v>
      </c>
      <c r="AC87" s="97">
        <v>1</v>
      </c>
      <c r="AD87" s="98">
        <v>1</v>
      </c>
      <c r="AE87" s="97">
        <v>1</v>
      </c>
      <c r="AF87" s="97">
        <v>1</v>
      </c>
      <c r="AG87" s="97">
        <v>1</v>
      </c>
      <c r="AH87" s="97">
        <v>1</v>
      </c>
      <c r="AI87" s="99">
        <f t="shared" si="11"/>
        <v>73.14891776256745</v>
      </c>
      <c r="AJ87" s="100">
        <f t="shared" si="12"/>
        <v>60.723170147125209</v>
      </c>
      <c r="AK87" s="101">
        <f t="shared" si="8"/>
        <v>51.907558587089333</v>
      </c>
      <c r="AL87" s="102">
        <f t="shared" si="13"/>
        <v>39.4818109716471</v>
      </c>
      <c r="AM87" s="103" t="str">
        <f t="shared" si="10"/>
        <v>HEM 260</v>
      </c>
    </row>
    <row r="88" spans="1:39">
      <c r="A88" s="86" t="s">
        <v>162</v>
      </c>
      <c r="B88" s="87">
        <f>IF(C88&lt;=2,Q88,P88)*IF(head!F$57="S235",235,IF(head!F$57="S275",275,IF(head!F$57="S355",355,IF(head!F$57="S420",420,460))))/1000000</f>
        <v>1160.861369529679</v>
      </c>
      <c r="C88" s="88">
        <f>IF(head!$F$57="S235",Y88,IF(head!$F$57="S275",Z88,IF(head!$F$57="S355",AA88,IF(head!$F$57="S420",AB88,AC88))))</f>
        <v>1</v>
      </c>
      <c r="D88" s="89">
        <f>IF(E88&lt;=2,Q88,P88)*IF(head!F$57="S235",235,IF(head!F$57="S275",275,IF(head!F$57="S355",355,IF(head!F$57="S420",420,460))))/(head!$G$31*head!$G$32*1000000)</f>
        <v>1365.7192582702107</v>
      </c>
      <c r="E88" s="90">
        <f>IF(head!$F$57="S235",AD88,IF(head!$F$57="S275",AE88,IF(head!$F$57="S355",AF88,IF(head!$F$57="S420",AG88,AH88))))</f>
        <v>1</v>
      </c>
      <c r="F88" s="91">
        <v>290</v>
      </c>
      <c r="G88" s="91">
        <v>268</v>
      </c>
      <c r="H88" s="91">
        <v>18</v>
      </c>
      <c r="I88" s="91">
        <v>32.5</v>
      </c>
      <c r="J88" s="91">
        <v>24</v>
      </c>
      <c r="K88" s="92">
        <v>172.42087465752837</v>
      </c>
      <c r="L88" s="93">
        <v>175.71554105225823</v>
      </c>
      <c r="M88" s="93">
        <v>21964.442631532278</v>
      </c>
      <c r="N88" s="93">
        <v>1.5747964473723099</v>
      </c>
      <c r="O88" s="94">
        <v>313068601.20642596</v>
      </c>
      <c r="P88" s="93">
        <v>2159093.8014236274</v>
      </c>
      <c r="Q88" s="93">
        <v>2523611.6728906068</v>
      </c>
      <c r="R88" s="95">
        <v>119.38772123500102</v>
      </c>
      <c r="S88" s="93">
        <v>104485840.43134595</v>
      </c>
      <c r="T88" s="93">
        <v>779745.07784586528</v>
      </c>
      <c r="U88" s="93">
        <v>1192465.6068405653</v>
      </c>
      <c r="V88" s="93">
        <v>68.971334108220802</v>
      </c>
      <c r="W88" s="94">
        <v>7223473.1209513601</v>
      </c>
      <c r="X88" s="96">
        <v>1683893859588.26</v>
      </c>
      <c r="Y88" s="97">
        <v>1</v>
      </c>
      <c r="Z88" s="97">
        <v>1</v>
      </c>
      <c r="AA88" s="97">
        <v>1</v>
      </c>
      <c r="AB88" s="97">
        <v>1</v>
      </c>
      <c r="AC88" s="97">
        <v>1</v>
      </c>
      <c r="AD88" s="98">
        <v>1</v>
      </c>
      <c r="AE88" s="97">
        <v>1</v>
      </c>
      <c r="AF88" s="97">
        <v>1</v>
      </c>
      <c r="AG88" s="97">
        <v>1</v>
      </c>
      <c r="AH88" s="97">
        <v>1</v>
      </c>
      <c r="AI88" s="99">
        <f t="shared" si="11"/>
        <v>71.697537414927311</v>
      </c>
      <c r="AJ88" s="100">
        <f t="shared" si="12"/>
        <v>59.495998568899061</v>
      </c>
      <c r="AK88" s="101">
        <f t="shared" si="8"/>
        <v>50.809393105102707</v>
      </c>
      <c r="AL88" s="102">
        <f t="shared" si="13"/>
        <v>38.60785425907445</v>
      </c>
      <c r="AM88" s="103" t="str">
        <f t="shared" si="10"/>
        <v>HEM 280</v>
      </c>
    </row>
    <row r="89" spans="1:39">
      <c r="A89" s="86" t="s">
        <v>163</v>
      </c>
      <c r="B89" s="87">
        <f>IF(C89&lt;=2,Q89,P89)*IF(head!F$57="S235",235,IF(head!F$57="S275",275,IF(head!F$57="S355",355,IF(head!F$57="S420",420,460))))/1000000</f>
        <v>1364.191353829475</v>
      </c>
      <c r="C89" s="88">
        <f>IF(head!$F$57="S235",Y89,IF(head!$F$57="S275",Z89,IF(head!$F$57="S355",AA89,IF(head!$F$57="S420",AB89,AC89))))</f>
        <v>1</v>
      </c>
      <c r="D89" s="89">
        <f>IF(E89&lt;=2,Q89,P89)*IF(head!F$57="S235",235,IF(head!F$57="S275",275,IF(head!F$57="S355",355,IF(head!F$57="S420",420,460))))/(head!$G$31*head!$G$32*1000000)</f>
        <v>1604.9310045052646</v>
      </c>
      <c r="E89" s="90">
        <f>IF(head!$F$57="S235",AD89,IF(head!$F$57="S275",AE89,IF(head!$F$57="S355",AF89,IF(head!$F$57="S420",AG89,AH89))))</f>
        <v>1</v>
      </c>
      <c r="F89" s="91">
        <v>310</v>
      </c>
      <c r="G89" s="91">
        <v>288</v>
      </c>
      <c r="H89" s="91">
        <v>18.5</v>
      </c>
      <c r="I89" s="91">
        <v>33</v>
      </c>
      <c r="J89" s="91">
        <v>24</v>
      </c>
      <c r="K89" s="92">
        <v>188.52907465752838</v>
      </c>
      <c r="L89" s="93">
        <v>192.13154105225823</v>
      </c>
      <c r="M89" s="93">
        <v>24016.442631532278</v>
      </c>
      <c r="N89" s="93">
        <v>1.6937964473723099</v>
      </c>
      <c r="O89" s="94">
        <v>395473397.43884325</v>
      </c>
      <c r="P89" s="93">
        <v>2551441.2737989887</v>
      </c>
      <c r="Q89" s="93">
        <v>2965633.3778901631</v>
      </c>
      <c r="R89" s="95">
        <v>128.32293902127444</v>
      </c>
      <c r="S89" s="93">
        <v>131627604.01243071</v>
      </c>
      <c r="T89" s="93">
        <v>914080.58341965778</v>
      </c>
      <c r="U89" s="93">
        <v>1396677.4674984484</v>
      </c>
      <c r="V89" s="93">
        <v>74.03194310890531</v>
      </c>
      <c r="W89" s="94">
        <v>8093944.0871728696</v>
      </c>
      <c r="X89" s="96">
        <v>2462913226864.71</v>
      </c>
      <c r="Y89" s="97">
        <v>1</v>
      </c>
      <c r="Z89" s="97">
        <v>1</v>
      </c>
      <c r="AA89" s="97">
        <v>1</v>
      </c>
      <c r="AB89" s="97">
        <v>1</v>
      </c>
      <c r="AC89" s="97">
        <v>1</v>
      </c>
      <c r="AD89" s="98">
        <v>1</v>
      </c>
      <c r="AE89" s="97">
        <v>1</v>
      </c>
      <c r="AF89" s="97">
        <v>1</v>
      </c>
      <c r="AG89" s="97">
        <v>1</v>
      </c>
      <c r="AH89" s="97">
        <v>1</v>
      </c>
      <c r="AI89" s="99">
        <f t="shared" si="11"/>
        <v>70.526533565318601</v>
      </c>
      <c r="AJ89" s="100">
        <f t="shared" si="12"/>
        <v>58.534749252438246</v>
      </c>
      <c r="AK89" s="101">
        <f t="shared" si="8"/>
        <v>49.799215410433739</v>
      </c>
      <c r="AL89" s="102">
        <f t="shared" si="13"/>
        <v>37.807431097553369</v>
      </c>
      <c r="AM89" s="103" t="str">
        <f t="shared" si="10"/>
        <v>HEM 300</v>
      </c>
    </row>
    <row r="90" spans="1:39">
      <c r="A90" s="86" t="s">
        <v>164</v>
      </c>
      <c r="B90" s="87">
        <f>IF(C90&lt;=2,Q90,P90)*IF(head!F$57="S235",235,IF(head!F$57="S275",275,IF(head!F$57="S355",355,IF(head!F$57="S420",420,460))))/1000000</f>
        <v>1875.7300452327006</v>
      </c>
      <c r="C90" s="88">
        <f>IF(head!$F$57="S235",Y90,IF(head!$F$57="S275",Z90,IF(head!$F$57="S355",AA90,IF(head!$F$57="S420",AB90,AC90))))</f>
        <v>1</v>
      </c>
      <c r="D90" s="89">
        <f>IF(E90&lt;=2,Q90,P90)*IF(head!F$57="S235",235,IF(head!F$57="S275",275,IF(head!F$57="S355",355,IF(head!F$57="S420",420,460))))/(head!$G$31*head!$G$32*1000000)</f>
        <v>2206.74122968553</v>
      </c>
      <c r="E90" s="90">
        <f>IF(head!$F$57="S235",AD90,IF(head!$F$57="S275",AE90,IF(head!$F$57="S355",AF90,IF(head!$F$57="S420",AG90,AH90))))</f>
        <v>1</v>
      </c>
      <c r="F90" s="91">
        <v>340</v>
      </c>
      <c r="G90" s="91">
        <v>310</v>
      </c>
      <c r="H90" s="91">
        <v>21</v>
      </c>
      <c r="I90" s="91">
        <v>39</v>
      </c>
      <c r="J90" s="91">
        <v>27</v>
      </c>
      <c r="K90" s="92">
        <v>237.91606480093438</v>
      </c>
      <c r="L90" s="93">
        <v>242.46223164426434</v>
      </c>
      <c r="M90" s="93">
        <v>30307.778955533042</v>
      </c>
      <c r="N90" s="93">
        <v>1.8316460032938489</v>
      </c>
      <c r="O90" s="94">
        <v>592010130.39769125</v>
      </c>
      <c r="P90" s="93">
        <v>3482412.5317511251</v>
      </c>
      <c r="Q90" s="93">
        <v>4077674.0113754361</v>
      </c>
      <c r="R90" s="95">
        <v>139.76148729576121</v>
      </c>
      <c r="S90" s="93">
        <v>194030745.37086421</v>
      </c>
      <c r="T90" s="93">
        <v>1251811.2604571884</v>
      </c>
      <c r="U90" s="93">
        <v>1913180.210832489</v>
      </c>
      <c r="V90" s="93">
        <v>80.012570053946277</v>
      </c>
      <c r="W90" s="94">
        <v>14146183.3900564</v>
      </c>
      <c r="X90" s="96">
        <v>4280030274693.7202</v>
      </c>
      <c r="Y90" s="97">
        <v>1</v>
      </c>
      <c r="Z90" s="97">
        <v>1</v>
      </c>
      <c r="AA90" s="97">
        <v>1</v>
      </c>
      <c r="AB90" s="97">
        <v>1</v>
      </c>
      <c r="AC90" s="97">
        <v>1</v>
      </c>
      <c r="AD90" s="98">
        <v>1</v>
      </c>
      <c r="AE90" s="97">
        <v>1</v>
      </c>
      <c r="AF90" s="97">
        <v>1</v>
      </c>
      <c r="AG90" s="97">
        <v>1</v>
      </c>
      <c r="AH90" s="97">
        <v>1</v>
      </c>
      <c r="AI90" s="99">
        <f t="shared" si="11"/>
        <v>60.434847633711549</v>
      </c>
      <c r="AJ90" s="100">
        <f t="shared" si="12"/>
        <v>50.206450480135047</v>
      </c>
      <c r="AK90" s="101">
        <f t="shared" si="8"/>
        <v>42.893278385965978</v>
      </c>
      <c r="AL90" s="102">
        <f t="shared" si="13"/>
        <v>32.664881232389476</v>
      </c>
      <c r="AM90" s="103" t="str">
        <f t="shared" si="10"/>
        <v>HEM 320</v>
      </c>
    </row>
    <row r="91" spans="1:39">
      <c r="A91" s="86" t="s">
        <v>165</v>
      </c>
      <c r="B91" s="87">
        <f>IF(C91&lt;=2,Q91,P91)*IF(head!F$57="S235",235,IF(head!F$57="S275",275,IF(head!F$57="S355",355,IF(head!F$57="S420",420,460))))/1000000</f>
        <v>2040.112595948835</v>
      </c>
      <c r="C91" s="88">
        <f>IF(head!$F$57="S235",Y91,IF(head!$F$57="S275",Z91,IF(head!$F$57="S355",AA91,IF(head!$F$57="S420",AB91,AC91))))</f>
        <v>1</v>
      </c>
      <c r="D91" s="89">
        <f>IF(E91&lt;=2,Q91,P91)*IF(head!F$57="S235",235,IF(head!F$57="S275",275,IF(head!F$57="S355",355,IF(head!F$57="S420",420,460))))/(head!$G$31*head!$G$32*1000000)</f>
        <v>2400.1324658221588</v>
      </c>
      <c r="E91" s="90">
        <f>IF(head!$F$57="S235",AD91,IF(head!$F$57="S275",AE91,IF(head!$F$57="S355",AF91,IF(head!$F$57="S420",AG91,AH91))))</f>
        <v>1</v>
      </c>
      <c r="F91" s="91">
        <v>359</v>
      </c>
      <c r="G91" s="91">
        <v>309</v>
      </c>
      <c r="H91" s="91">
        <v>21</v>
      </c>
      <c r="I91" s="91">
        <v>40</v>
      </c>
      <c r="J91" s="91">
        <v>27</v>
      </c>
      <c r="K91" s="92">
        <v>244.95751480093438</v>
      </c>
      <c r="L91" s="93">
        <v>249.63823164426435</v>
      </c>
      <c r="M91" s="93">
        <v>31204.778955533042</v>
      </c>
      <c r="N91" s="93">
        <v>1.8656460032938489</v>
      </c>
      <c r="O91" s="94">
        <v>681348508.37061095</v>
      </c>
      <c r="P91" s="93">
        <v>3795813.4171064678</v>
      </c>
      <c r="Q91" s="93">
        <v>4435027.3824974671</v>
      </c>
      <c r="R91" s="95">
        <v>147.76585787141727</v>
      </c>
      <c r="S91" s="93">
        <v>197093225.12086421</v>
      </c>
      <c r="T91" s="93">
        <v>1275684.3049894124</v>
      </c>
      <c r="U91" s="93">
        <v>1950724.460832489</v>
      </c>
      <c r="V91" s="93">
        <v>79.47404040149479</v>
      </c>
      <c r="W91" s="94">
        <v>15101089.1600751</v>
      </c>
      <c r="X91" s="96">
        <v>4889875058756.6602</v>
      </c>
      <c r="Y91" s="97">
        <v>1</v>
      </c>
      <c r="Z91" s="97">
        <v>1</v>
      </c>
      <c r="AA91" s="97">
        <v>1</v>
      </c>
      <c r="AB91" s="97">
        <v>1</v>
      </c>
      <c r="AC91" s="97">
        <v>1</v>
      </c>
      <c r="AD91" s="98">
        <v>1</v>
      </c>
      <c r="AE91" s="97">
        <v>1</v>
      </c>
      <c r="AF91" s="97">
        <v>1</v>
      </c>
      <c r="AG91" s="97">
        <v>1</v>
      </c>
      <c r="AH91" s="97">
        <v>1</v>
      </c>
      <c r="AI91" s="99">
        <f t="shared" si="11"/>
        <v>59.787188556996455</v>
      </c>
      <c r="AJ91" s="100">
        <f t="shared" si="12"/>
        <v>49.884859159299829</v>
      </c>
      <c r="AK91" s="101">
        <f t="shared" si="8"/>
        <v>42.813954936319412</v>
      </c>
      <c r="AL91" s="102">
        <f t="shared" si="13"/>
        <v>32.911625538622786</v>
      </c>
      <c r="AM91" s="103" t="str">
        <f t="shared" si="10"/>
        <v>HEM 340</v>
      </c>
    </row>
    <row r="92" spans="1:39">
      <c r="A92" s="86" t="s">
        <v>166</v>
      </c>
      <c r="B92" s="87">
        <f>IF(C92&lt;=2,Q92,P92)*IF(head!F$57="S235",235,IF(head!F$57="S275",275,IF(head!F$57="S355",355,IF(head!F$57="S420",420,460))))/1000000</f>
        <v>2170.0828408247417</v>
      </c>
      <c r="C92" s="88">
        <f>IF(head!$F$57="S235",Y92,IF(head!$F$57="S275",Z92,IF(head!$F$57="S355",AA92,IF(head!$F$57="S420",AB92,AC92))))</f>
        <v>1</v>
      </c>
      <c r="D92" s="89">
        <f>IF(E92&lt;=2,Q92,P92)*IF(head!F$57="S235",235,IF(head!F$57="S275",275,IF(head!F$57="S355",355,IF(head!F$57="S420",420,460))))/(head!$G$31*head!$G$32*1000000)</f>
        <v>2553.0386362644022</v>
      </c>
      <c r="E92" s="90">
        <f>IF(head!$F$57="S235",AD92,IF(head!$F$57="S275",AE92,IF(head!$F$57="S355",AF92,IF(head!$F$57="S420",AG92,AH92))))</f>
        <v>1</v>
      </c>
      <c r="F92" s="91">
        <v>377</v>
      </c>
      <c r="G92" s="91">
        <v>309</v>
      </c>
      <c r="H92" s="91">
        <v>21</v>
      </c>
      <c r="I92" s="91">
        <v>40</v>
      </c>
      <c r="J92" s="91">
        <v>27</v>
      </c>
      <c r="K92" s="92">
        <v>247.92481480093437</v>
      </c>
      <c r="L92" s="93">
        <v>252.66223164426435</v>
      </c>
      <c r="M92" s="93">
        <v>31582.778955533042</v>
      </c>
      <c r="N92" s="93">
        <v>1.9016460032938489</v>
      </c>
      <c r="O92" s="94">
        <v>763716794.35096347</v>
      </c>
      <c r="P92" s="93">
        <v>4051547.9806417162</v>
      </c>
      <c r="Q92" s="93">
        <v>4717571.3930972647</v>
      </c>
      <c r="R92" s="95">
        <v>155.50379781391462</v>
      </c>
      <c r="S92" s="93">
        <v>197107116.62086421</v>
      </c>
      <c r="T92" s="93">
        <v>1275774.2176107715</v>
      </c>
      <c r="U92" s="93">
        <v>1952708.960832489</v>
      </c>
      <c r="V92" s="93">
        <v>78.999798231272862</v>
      </c>
      <c r="W92" s="94">
        <v>15156670.463566203</v>
      </c>
      <c r="X92" s="96">
        <v>5463130411879.8896</v>
      </c>
      <c r="Y92" s="97">
        <v>1</v>
      </c>
      <c r="Z92" s="97">
        <v>1</v>
      </c>
      <c r="AA92" s="97">
        <v>1</v>
      </c>
      <c r="AB92" s="97">
        <v>1</v>
      </c>
      <c r="AC92" s="97">
        <v>1</v>
      </c>
      <c r="AD92" s="98">
        <v>1</v>
      </c>
      <c r="AE92" s="97">
        <v>1</v>
      </c>
      <c r="AF92" s="97">
        <v>1</v>
      </c>
      <c r="AG92" s="97">
        <v>1</v>
      </c>
      <c r="AH92" s="97">
        <v>1</v>
      </c>
      <c r="AI92" s="99">
        <f t="shared" si="11"/>
        <v>60.211484428627088</v>
      </c>
      <c r="AJ92" s="100">
        <f t="shared" si="12"/>
        <v>50.427671533787894</v>
      </c>
      <c r="AK92" s="101">
        <f t="shared" si="8"/>
        <v>43.441395766082103</v>
      </c>
      <c r="AL92" s="102">
        <f t="shared" si="13"/>
        <v>33.657582871242909</v>
      </c>
      <c r="AM92" s="103" t="str">
        <f t="shared" si="10"/>
        <v>HEM 360</v>
      </c>
    </row>
    <row r="93" spans="1:39">
      <c r="A93" s="86" t="s">
        <v>167</v>
      </c>
      <c r="B93" s="87">
        <f>IF(C93&lt;=2,Q93,P93)*IF(head!F$57="S235",235,IF(head!F$57="S275",275,IF(head!F$57="S355",355,IF(head!F$57="S420",420,460))))/1000000</f>
        <v>2295.0860057006489</v>
      </c>
      <c r="C93" s="88">
        <f>IF(head!$F$57="S235",Y93,IF(head!$F$57="S275",Z93,IF(head!$F$57="S355",AA93,IF(head!$F$57="S420",AB93,AC93))))</f>
        <v>1</v>
      </c>
      <c r="D93" s="89">
        <f>IF(E93&lt;=2,Q93,P93)*IF(head!F$57="S235",235,IF(head!F$57="S275",275,IF(head!F$57="S355",355,IF(head!F$57="S420",420,460))))/(head!$G$31*head!$G$32*1000000)</f>
        <v>2700.1011831772339</v>
      </c>
      <c r="E93" s="90">
        <f>IF(head!$F$57="S235",AD93,IF(head!$F$57="S275",AE93,IF(head!$F$57="S355",AF93,IF(head!$F$57="S420",AG93,AH93))))</f>
        <v>1</v>
      </c>
      <c r="F93" s="91">
        <v>395</v>
      </c>
      <c r="G93" s="91">
        <v>308</v>
      </c>
      <c r="H93" s="91">
        <v>21</v>
      </c>
      <c r="I93" s="91">
        <v>40</v>
      </c>
      <c r="J93" s="91">
        <v>27</v>
      </c>
      <c r="K93" s="92">
        <v>250.26411480093438</v>
      </c>
      <c r="L93" s="93">
        <v>255.04623164426434</v>
      </c>
      <c r="M93" s="93">
        <v>31880.778955533042</v>
      </c>
      <c r="N93" s="93">
        <v>1.9336460032938489</v>
      </c>
      <c r="O93" s="94">
        <v>848670323.85544562</v>
      </c>
      <c r="P93" s="93">
        <v>4297064.9309136486</v>
      </c>
      <c r="Q93" s="93">
        <v>4989317.4036970623</v>
      </c>
      <c r="R93" s="95">
        <v>163.1567500684601</v>
      </c>
      <c r="S93" s="93">
        <v>195217561.45419753</v>
      </c>
      <c r="T93" s="93">
        <v>1267646.5029493347</v>
      </c>
      <c r="U93" s="93">
        <v>1942353.460832489</v>
      </c>
      <c r="V93" s="93">
        <v>78.251915932789359</v>
      </c>
      <c r="W93" s="94">
        <v>15169583.4957531</v>
      </c>
      <c r="X93" s="96">
        <v>6009151264428.9199</v>
      </c>
      <c r="Y93" s="97">
        <v>1</v>
      </c>
      <c r="Z93" s="97">
        <v>1</v>
      </c>
      <c r="AA93" s="97">
        <v>1</v>
      </c>
      <c r="AB93" s="97">
        <v>1</v>
      </c>
      <c r="AC93" s="97">
        <v>1</v>
      </c>
      <c r="AD93" s="98">
        <v>1</v>
      </c>
      <c r="AE93" s="97">
        <v>1</v>
      </c>
      <c r="AF93" s="97">
        <v>1</v>
      </c>
      <c r="AG93" s="97">
        <v>1</v>
      </c>
      <c r="AH93" s="97">
        <v>1</v>
      </c>
      <c r="AI93" s="99">
        <f t="shared" si="11"/>
        <v>60.652407709073763</v>
      </c>
      <c r="AJ93" s="100">
        <f t="shared" si="12"/>
        <v>50.991414154631606</v>
      </c>
      <c r="AK93" s="101">
        <f t="shared" si="8"/>
        <v>44.10180823878467</v>
      </c>
      <c r="AL93" s="102">
        <f t="shared" si="13"/>
        <v>34.440814684342506</v>
      </c>
      <c r="AM93" s="103" t="str">
        <f t="shared" si="10"/>
        <v>HEM 400</v>
      </c>
    </row>
    <row r="94" spans="1:39">
      <c r="A94" s="86" t="s">
        <v>168</v>
      </c>
      <c r="B94" s="87">
        <f>IF(C94&lt;=2,Q94,P94)*IF(head!F$57="S235",235,IF(head!F$57="S275",275,IF(head!F$57="S355",355,IF(head!F$57="S420",420,460))))/1000000</f>
        <v>2562.4847696122351</v>
      </c>
      <c r="C94" s="88">
        <f>IF(head!$F$57="S235",Y94,IF(head!$F$57="S275",Z94,IF(head!$F$57="S355",AA94,IF(head!$F$57="S420",AB94,AC94))))</f>
        <v>1</v>
      </c>
      <c r="D94" s="89">
        <f>IF(E94&lt;=2,Q94,P94)*IF(head!F$57="S235",235,IF(head!F$57="S275",275,IF(head!F$57="S355",355,IF(head!F$57="S420",420,460))))/(head!$G$31*head!$G$32*1000000)</f>
        <v>3014.6879642496883</v>
      </c>
      <c r="E94" s="90">
        <f>IF(head!$F$57="S235",AD94,IF(head!$F$57="S275",AE94,IF(head!$F$57="S355",AF94,IF(head!$F$57="S420",AG94,AH94))))</f>
        <v>1</v>
      </c>
      <c r="F94" s="91">
        <v>432</v>
      </c>
      <c r="G94" s="91">
        <v>307</v>
      </c>
      <c r="H94" s="91">
        <v>21</v>
      </c>
      <c r="I94" s="91">
        <v>40</v>
      </c>
      <c r="J94" s="91">
        <v>27</v>
      </c>
      <c r="K94" s="92">
        <v>255.73556480093438</v>
      </c>
      <c r="L94" s="93">
        <v>260.62223164426433</v>
      </c>
      <c r="M94" s="93">
        <v>32577.778955533042</v>
      </c>
      <c r="N94" s="93">
        <v>2.003646003293849</v>
      </c>
      <c r="O94" s="94">
        <v>1041190960.4731015</v>
      </c>
      <c r="P94" s="93">
        <v>4820328.5207088031</v>
      </c>
      <c r="Q94" s="93">
        <v>5570619.0643744236</v>
      </c>
      <c r="R94" s="95">
        <v>178.77404154798538</v>
      </c>
      <c r="S94" s="93">
        <v>193354989.53753087</v>
      </c>
      <c r="T94" s="93">
        <v>1259641.6256516669</v>
      </c>
      <c r="U94" s="93">
        <v>1934132.710832489</v>
      </c>
      <c r="V94" s="93">
        <v>77.040120899832516</v>
      </c>
      <c r="W94" s="94">
        <v>15241168.005823201</v>
      </c>
      <c r="X94" s="96">
        <v>7268654385438.4102</v>
      </c>
      <c r="Y94" s="97">
        <v>1</v>
      </c>
      <c r="Z94" s="97">
        <v>1</v>
      </c>
      <c r="AA94" s="97">
        <v>1</v>
      </c>
      <c r="AB94" s="97">
        <v>1</v>
      </c>
      <c r="AC94" s="97">
        <v>1</v>
      </c>
      <c r="AD94" s="98">
        <v>1</v>
      </c>
      <c r="AE94" s="97">
        <v>1</v>
      </c>
      <c r="AF94" s="97">
        <v>1</v>
      </c>
      <c r="AG94" s="97">
        <v>1</v>
      </c>
      <c r="AH94" s="97">
        <v>1</v>
      </c>
      <c r="AI94" s="99">
        <f t="shared" si="11"/>
        <v>61.503456267805134</v>
      </c>
      <c r="AJ94" s="100">
        <f t="shared" si="12"/>
        <v>52.079854971380385</v>
      </c>
      <c r="AK94" s="101">
        <f t="shared" si="8"/>
        <v>45.36834760949764</v>
      </c>
      <c r="AL94" s="102">
        <f t="shared" si="13"/>
        <v>35.944746313072891</v>
      </c>
      <c r="AM94" s="103" t="str">
        <f t="shared" si="10"/>
        <v>HEM 450</v>
      </c>
    </row>
    <row r="95" spans="1:39">
      <c r="A95" s="86" t="s">
        <v>169</v>
      </c>
      <c r="B95" s="87">
        <f>IF(C95&lt;=2,Q95,P95)*IF(head!F$57="S235",235,IF(head!F$57="S275",275,IF(head!F$57="S355",355,IF(head!F$57="S420",420,460))))/1000000</f>
        <v>2912.2678109617746</v>
      </c>
      <c r="C95" s="88">
        <f>IF(head!$F$57="S235",Y95,IF(head!$F$57="S275",Z95,IF(head!$F$57="S355",AA95,IF(head!$F$57="S420",AB95,AC95))))</f>
        <v>1</v>
      </c>
      <c r="D95" s="89">
        <f>IF(E95&lt;=2,Q95,P95)*IF(head!F$57="S235",235,IF(head!F$57="S275",275,IF(head!F$57="S355",355,IF(head!F$57="S420",420,460))))/(head!$G$31*head!$G$32*1000000)</f>
        <v>3426.1974246609111</v>
      </c>
      <c r="E95" s="90">
        <f>IF(head!$F$57="S235",AD95,IF(head!$F$57="S275",AE95,IF(head!$F$57="S355",AF95,IF(head!$F$57="S420",AG95,AH95))))</f>
        <v>1</v>
      </c>
      <c r="F95" s="91">
        <v>478</v>
      </c>
      <c r="G95" s="91">
        <v>307</v>
      </c>
      <c r="H95" s="91">
        <v>21</v>
      </c>
      <c r="I95" s="91">
        <v>40</v>
      </c>
      <c r="J95" s="91">
        <v>27</v>
      </c>
      <c r="K95" s="92">
        <v>263.31866480093436</v>
      </c>
      <c r="L95" s="93">
        <v>268.35023164426428</v>
      </c>
      <c r="M95" s="93">
        <v>33543.778955533038</v>
      </c>
      <c r="N95" s="93">
        <v>2.0956460032938491</v>
      </c>
      <c r="O95" s="94">
        <v>1314843420.5018015</v>
      </c>
      <c r="P95" s="93">
        <v>5501436.905865279</v>
      </c>
      <c r="Q95" s="93">
        <v>6331016.9803516837</v>
      </c>
      <c r="R95" s="95">
        <v>197.98442425897409</v>
      </c>
      <c r="S95" s="93">
        <v>193390490.03753087</v>
      </c>
      <c r="T95" s="93">
        <v>1259872.8992673021</v>
      </c>
      <c r="U95" s="93">
        <v>1939204.210832489</v>
      </c>
      <c r="V95" s="93">
        <v>75.929678880463968</v>
      </c>
      <c r="W95" s="94">
        <v>15383215.356600899</v>
      </c>
      <c r="X95" s="96">
        <v>9092159181547.6895</v>
      </c>
      <c r="Y95" s="97">
        <v>1</v>
      </c>
      <c r="Z95" s="97">
        <v>1</v>
      </c>
      <c r="AA95" s="97">
        <v>1</v>
      </c>
      <c r="AB95" s="97">
        <v>1</v>
      </c>
      <c r="AC95" s="97">
        <v>1</v>
      </c>
      <c r="AD95" s="98">
        <v>1</v>
      </c>
      <c r="AE95" s="97">
        <v>1</v>
      </c>
      <c r="AF95" s="97">
        <v>1</v>
      </c>
      <c r="AG95" s="97">
        <v>1</v>
      </c>
      <c r="AH95" s="97">
        <v>1</v>
      </c>
      <c r="AI95" s="99">
        <f t="shared" si="11"/>
        <v>62.474952690092557</v>
      </c>
      <c r="AJ95" s="100">
        <f t="shared" si="12"/>
        <v>53.322734020664427</v>
      </c>
      <c r="AK95" s="101">
        <f t="shared" si="8"/>
        <v>46.80450589902987</v>
      </c>
      <c r="AL95" s="102">
        <f t="shared" si="13"/>
        <v>37.652287229601733</v>
      </c>
      <c r="AM95" s="103" t="str">
        <f t="shared" si="10"/>
        <v>HEM 500</v>
      </c>
    </row>
    <row r="96" spans="1:39">
      <c r="A96" s="86" t="s">
        <v>170</v>
      </c>
      <c r="B96" s="87">
        <f>IF(C96&lt;=2,Q96,P96)*IF(head!F$57="S235",235,IF(head!F$57="S275",275,IF(head!F$57="S355",355,IF(head!F$57="S420",420,460))))/1000000</f>
        <v>3263.3655323113135</v>
      </c>
      <c r="C96" s="88">
        <f>IF(head!$F$57="S235",Y96,IF(head!$F$57="S275",Z96,IF(head!$F$57="S355",AA96,IF(head!$F$57="S420",AB96,AC96))))</f>
        <v>1</v>
      </c>
      <c r="D96" s="89">
        <f>IF(E96&lt;=2,Q96,P96)*IF(head!F$57="S235",235,IF(head!F$57="S275",275,IF(head!F$57="S355",355,IF(head!F$57="S420",420,460))))/(head!$G$31*head!$G$32*1000000)</f>
        <v>3839.2535674250748</v>
      </c>
      <c r="E96" s="90">
        <f>IF(head!$F$57="S235",AD96,IF(head!$F$57="S275",AE96,IF(head!$F$57="S355",AF96,IF(head!$F$57="S420",AG96,AH96))))</f>
        <v>1</v>
      </c>
      <c r="F96" s="91">
        <v>524</v>
      </c>
      <c r="G96" s="91">
        <v>306</v>
      </c>
      <c r="H96" s="91">
        <v>21</v>
      </c>
      <c r="I96" s="91">
        <v>40</v>
      </c>
      <c r="J96" s="91">
        <v>27</v>
      </c>
      <c r="K96" s="92">
        <v>270.27376480093437</v>
      </c>
      <c r="L96" s="93">
        <v>275.43823164426431</v>
      </c>
      <c r="M96" s="93">
        <v>34429.778955533038</v>
      </c>
      <c r="N96" s="93">
        <v>2.1836460032938487</v>
      </c>
      <c r="O96" s="94">
        <v>1619289411.9987898</v>
      </c>
      <c r="P96" s="93">
        <v>6180493.9389266782</v>
      </c>
      <c r="Q96" s="93">
        <v>7094272.8963289429</v>
      </c>
      <c r="R96" s="95">
        <v>216.86782348554689</v>
      </c>
      <c r="S96" s="93">
        <v>191547143.87086421</v>
      </c>
      <c r="T96" s="93">
        <v>1251942.116803034</v>
      </c>
      <c r="U96" s="93">
        <v>1932015.710832489</v>
      </c>
      <c r="V96" s="93">
        <v>74.588302434705511</v>
      </c>
      <c r="W96" s="94">
        <v>15482595.475854</v>
      </c>
      <c r="X96" s="96">
        <v>11011420192710.801</v>
      </c>
      <c r="Y96" s="97">
        <v>1</v>
      </c>
      <c r="Z96" s="97">
        <v>1</v>
      </c>
      <c r="AA96" s="97">
        <v>1</v>
      </c>
      <c r="AB96" s="97">
        <v>1</v>
      </c>
      <c r="AC96" s="97">
        <v>1</v>
      </c>
      <c r="AD96" s="98">
        <v>1</v>
      </c>
      <c r="AE96" s="97">
        <v>1</v>
      </c>
      <c r="AF96" s="97">
        <v>1</v>
      </c>
      <c r="AG96" s="97">
        <v>1</v>
      </c>
      <c r="AH96" s="97">
        <v>1</v>
      </c>
      <c r="AI96" s="99">
        <f t="shared" si="11"/>
        <v>63.42317811897906</v>
      </c>
      <c r="AJ96" s="100">
        <f t="shared" si="12"/>
        <v>54.535523034257004</v>
      </c>
      <c r="AK96" s="101">
        <f t="shared" si="8"/>
        <v>48.214076603394219</v>
      </c>
      <c r="AL96" s="102">
        <f t="shared" si="13"/>
        <v>39.326421518672149</v>
      </c>
      <c r="AM96" s="103" t="str">
        <f t="shared" si="10"/>
        <v>HEM 550</v>
      </c>
    </row>
    <row r="97" spans="1:39">
      <c r="A97" s="86" t="s">
        <v>171</v>
      </c>
      <c r="B97" s="87">
        <f>IF(C97&lt;=2,Q97,P97)*IF(head!F$57="S235",235,IF(head!F$57="S275",275,IF(head!F$57="S355",355,IF(head!F$57="S420",420,460))))/1000000</f>
        <v>3649.0344519803984</v>
      </c>
      <c r="C97" s="88">
        <f>IF(head!$F$57="S235",Y97,IF(head!$F$57="S275",Z97,IF(head!$F$57="S355",AA97,IF(head!$F$57="S420",AB97,AC97))))</f>
        <v>1</v>
      </c>
      <c r="D97" s="89">
        <f>IF(E97&lt;=2,Q97,P97)*IF(head!F$57="S235",235,IF(head!F$57="S275",275,IF(head!F$57="S355",355,IF(head!F$57="S420",420,460))))/(head!$G$31*head!$G$32*1000000)</f>
        <v>4292.9817082122336</v>
      </c>
      <c r="E97" s="90">
        <f>IF(head!$F$57="S235",AD97,IF(head!$F$57="S275",AE97,IF(head!$F$57="S355",AF97,IF(head!$F$57="S420",AG97,AH97))))</f>
        <v>1</v>
      </c>
      <c r="F97" s="91">
        <v>572</v>
      </c>
      <c r="G97" s="91">
        <v>306</v>
      </c>
      <c r="H97" s="91">
        <v>21</v>
      </c>
      <c r="I97" s="91">
        <v>40</v>
      </c>
      <c r="J97" s="91">
        <v>27</v>
      </c>
      <c r="K97" s="92">
        <v>278.18656480093438</v>
      </c>
      <c r="L97" s="93">
        <v>283.50223164426427</v>
      </c>
      <c r="M97" s="93">
        <v>35437.778955533038</v>
      </c>
      <c r="N97" s="93">
        <v>2.2796460032938488</v>
      </c>
      <c r="O97" s="94">
        <v>1979839599.7009661</v>
      </c>
      <c r="P97" s="93">
        <v>6922516.0828705113</v>
      </c>
      <c r="Q97" s="93">
        <v>7932683.5912617361</v>
      </c>
      <c r="R97" s="95">
        <v>236.36423123217736</v>
      </c>
      <c r="S97" s="93">
        <v>191584187.87086421</v>
      </c>
      <c r="T97" s="93">
        <v>1252184.234450093</v>
      </c>
      <c r="U97" s="93">
        <v>1937307.710832489</v>
      </c>
      <c r="V97" s="93">
        <v>73.526955505917627</v>
      </c>
      <c r="W97" s="94">
        <v>15630822.2999411</v>
      </c>
      <c r="X97" s="96">
        <v>13323129529196.301</v>
      </c>
      <c r="Y97" s="97">
        <v>1</v>
      </c>
      <c r="Z97" s="97">
        <v>1</v>
      </c>
      <c r="AA97" s="97">
        <v>1</v>
      </c>
      <c r="AB97" s="97">
        <v>1</v>
      </c>
      <c r="AC97" s="97">
        <v>1</v>
      </c>
      <c r="AD97" s="98">
        <v>1</v>
      </c>
      <c r="AE97" s="97">
        <v>1</v>
      </c>
      <c r="AF97" s="97">
        <v>1</v>
      </c>
      <c r="AG97" s="97">
        <v>1</v>
      </c>
      <c r="AH97" s="97">
        <v>1</v>
      </c>
      <c r="AI97" s="99">
        <f t="shared" si="11"/>
        <v>64.328128637924095</v>
      </c>
      <c r="AJ97" s="100">
        <f t="shared" si="12"/>
        <v>55.693275974500537</v>
      </c>
      <c r="AK97" s="101">
        <f t="shared" si="8"/>
        <v>49.551638160038493</v>
      </c>
      <c r="AL97" s="102">
        <f t="shared" si="13"/>
        <v>40.916785496614928</v>
      </c>
      <c r="AM97" s="103" t="str">
        <f t="shared" si="10"/>
        <v>HEM 600</v>
      </c>
    </row>
    <row r="98" spans="1:39">
      <c r="A98" s="86" t="s">
        <v>172</v>
      </c>
      <c r="B98" s="87">
        <f>IF(C98&lt;=2,Q98,P98)*IF(head!F$57="S235",235,IF(head!F$57="S275",275,IF(head!F$57="S355",355,IF(head!F$57="S420",420,460))))/1000000</f>
        <v>4035.1596916494827</v>
      </c>
      <c r="C98" s="88">
        <f>IF(head!$F$57="S235",Y98,IF(head!$F$57="S275",Z98,IF(head!$F$57="S355",AA98,IF(head!$F$57="S420",AB98,AC98))))</f>
        <v>1</v>
      </c>
      <c r="D98" s="89">
        <f>IF(E98&lt;=2,Q98,P98)*IF(head!F$57="S235",235,IF(head!F$57="S275",275,IF(head!F$57="S355",355,IF(head!F$57="S420",420,460))))/(head!$G$31*head!$G$32*1000000)</f>
        <v>4747.2466960582151</v>
      </c>
      <c r="E98" s="90">
        <f>IF(head!$F$57="S235",AD98,IF(head!$F$57="S275",AE98,IF(head!$F$57="S355",AF98,IF(head!$F$57="S420",AG98,AH98))))</f>
        <v>1</v>
      </c>
      <c r="F98" s="91">
        <v>620</v>
      </c>
      <c r="G98" s="91">
        <v>305</v>
      </c>
      <c r="H98" s="91">
        <v>21</v>
      </c>
      <c r="I98" s="91">
        <v>40</v>
      </c>
      <c r="J98" s="91">
        <v>27</v>
      </c>
      <c r="K98" s="92">
        <v>285.4713648009344</v>
      </c>
      <c r="L98" s="93">
        <v>290.92623164426431</v>
      </c>
      <c r="M98" s="93">
        <v>36365.778955533038</v>
      </c>
      <c r="N98" s="93">
        <v>2.3716460032938489</v>
      </c>
      <c r="O98" s="94">
        <v>2374475442.0932493</v>
      </c>
      <c r="P98" s="93">
        <v>7659598.2003008043</v>
      </c>
      <c r="Q98" s="93">
        <v>8772086.2861945275</v>
      </c>
      <c r="R98" s="95">
        <v>255.5273516441882</v>
      </c>
      <c r="S98" s="93">
        <v>189754625.2041975</v>
      </c>
      <c r="T98" s="93">
        <v>1244292.6242898197</v>
      </c>
      <c r="U98" s="93">
        <v>1930379.710832489</v>
      </c>
      <c r="V98" s="93">
        <v>72.235342770328884</v>
      </c>
      <c r="W98" s="94">
        <v>15736381.995346701</v>
      </c>
      <c r="X98" s="96">
        <v>15700023666012</v>
      </c>
      <c r="Y98" s="97">
        <v>1</v>
      </c>
      <c r="Z98" s="97">
        <v>1</v>
      </c>
      <c r="AA98" s="97">
        <v>1</v>
      </c>
      <c r="AB98" s="97">
        <v>1</v>
      </c>
      <c r="AC98" s="97">
        <v>1</v>
      </c>
      <c r="AD98" s="98">
        <v>1</v>
      </c>
      <c r="AE98" s="97">
        <v>1</v>
      </c>
      <c r="AF98" s="97">
        <v>1</v>
      </c>
      <c r="AG98" s="97">
        <v>1</v>
      </c>
      <c r="AH98" s="97">
        <v>1</v>
      </c>
      <c r="AI98" s="99">
        <f t="shared" si="11"/>
        <v>65.216422455678043</v>
      </c>
      <c r="AJ98" s="100">
        <f t="shared" si="12"/>
        <v>56.829416628772904</v>
      </c>
      <c r="AK98" s="101">
        <f t="shared" si="8"/>
        <v>50.872002556637746</v>
      </c>
      <c r="AL98" s="102">
        <f t="shared" si="13"/>
        <v>42.484996729732607</v>
      </c>
      <c r="AM98" s="103" t="str">
        <f t="shared" si="10"/>
        <v>HEM 650</v>
      </c>
    </row>
    <row r="99" spans="1:39">
      <c r="A99" s="86" t="s">
        <v>173</v>
      </c>
      <c r="B99" s="87">
        <f>IF(C99&lt;=2,Q99,P99)*IF(head!F$57="S235",235,IF(head!F$57="S275",275,IF(head!F$57="S355",355,IF(head!F$57="S420",420,460))))/1000000</f>
        <v>4442.202051318568</v>
      </c>
      <c r="C99" s="88">
        <f>IF(head!$F$57="S235",Y99,IF(head!$F$57="S275",Z99,IF(head!$F$57="S355",AA99,IF(head!$F$57="S420",AB99,AC99))))</f>
        <v>1</v>
      </c>
      <c r="D99" s="89">
        <f>IF(E99&lt;=2,Q99,P99)*IF(head!F$57="S235",235,IF(head!F$57="S275",275,IF(head!F$57="S355",355,IF(head!F$57="S420",420,460))))/(head!$G$31*head!$G$32*1000000)</f>
        <v>5226.1200603747866</v>
      </c>
      <c r="E99" s="90">
        <f>IF(head!$F$57="S235",AD99,IF(head!$F$57="S275",AE99,IF(head!$F$57="S355",AF99,IF(head!$F$57="S420",AG99,AH99))))</f>
        <v>1</v>
      </c>
      <c r="F99" s="91">
        <v>668</v>
      </c>
      <c r="G99" s="91">
        <v>305</v>
      </c>
      <c r="H99" s="91">
        <v>21</v>
      </c>
      <c r="I99" s="91">
        <v>40</v>
      </c>
      <c r="J99" s="91">
        <v>27</v>
      </c>
      <c r="K99" s="92">
        <v>293.3841648009344</v>
      </c>
      <c r="L99" s="93">
        <v>298.99023164426427</v>
      </c>
      <c r="M99" s="93">
        <v>37373.778955533038</v>
      </c>
      <c r="N99" s="93">
        <v>2.467646003293849</v>
      </c>
      <c r="O99" s="94">
        <v>2816675808.5089736</v>
      </c>
      <c r="P99" s="93">
        <v>8433161.1033202801</v>
      </c>
      <c r="Q99" s="93">
        <v>9656960.9811273217</v>
      </c>
      <c r="R99" s="95">
        <v>274.5269123788068</v>
      </c>
      <c r="S99" s="93">
        <v>189791669.20419753</v>
      </c>
      <c r="T99" s="93">
        <v>1244535.5357652297</v>
      </c>
      <c r="U99" s="93">
        <v>1935671.710832489</v>
      </c>
      <c r="V99" s="93">
        <v>71.261517506831353</v>
      </c>
      <c r="W99" s="94">
        <v>15884611.850405199</v>
      </c>
      <c r="X99" s="96">
        <v>18426266865969.199</v>
      </c>
      <c r="Y99" s="97">
        <v>1</v>
      </c>
      <c r="Z99" s="97">
        <v>1</v>
      </c>
      <c r="AA99" s="97">
        <v>1</v>
      </c>
      <c r="AB99" s="97">
        <v>1</v>
      </c>
      <c r="AC99" s="97">
        <v>1</v>
      </c>
      <c r="AD99" s="98">
        <v>1</v>
      </c>
      <c r="AE99" s="97">
        <v>1</v>
      </c>
      <c r="AF99" s="97">
        <v>1</v>
      </c>
      <c r="AG99" s="97">
        <v>1</v>
      </c>
      <c r="AH99" s="97">
        <v>1</v>
      </c>
      <c r="AI99" s="99">
        <f t="shared" si="11"/>
        <v>66.02613041164048</v>
      </c>
      <c r="AJ99" s="100">
        <f t="shared" si="12"/>
        <v>57.865328680488645</v>
      </c>
      <c r="AK99" s="101">
        <f t="shared" si="8"/>
        <v>52.068590717447442</v>
      </c>
      <c r="AL99" s="102">
        <f t="shared" si="13"/>
        <v>43.907788986295607</v>
      </c>
      <c r="AM99" s="103" t="str">
        <f t="shared" si="10"/>
        <v>HEM 700</v>
      </c>
    </row>
    <row r="100" spans="1:39">
      <c r="A100" s="86" t="s">
        <v>174</v>
      </c>
      <c r="B100" s="87">
        <f>IF(C100&lt;=2,Q100,P100)*IF(head!F$57="S235",235,IF(head!F$57="S275",275,IF(head!F$57="S355",355,IF(head!F$57="S420",420,460))))/1000000</f>
        <v>4847.9343309876531</v>
      </c>
      <c r="C100" s="88">
        <f>IF(head!$F$57="S235",Y100,IF(head!$F$57="S275",Z100,IF(head!$F$57="S355",AA100,IF(head!$F$57="S420",AB100,AC100))))</f>
        <v>1</v>
      </c>
      <c r="D100" s="89">
        <f>IF(E100&lt;=2,Q100,P100)*IF(head!F$57="S235",235,IF(head!F$57="S275",275,IF(head!F$57="S355",355,IF(head!F$57="S420",420,460))))/(head!$G$31*head!$G$32*1000000)</f>
        <v>5703.4521541031208</v>
      </c>
      <c r="E100" s="90">
        <f>IF(head!$F$57="S235",AD100,IF(head!$F$57="S275",AE100,IF(head!$F$57="S355",AF100,IF(head!$F$57="S420",AG100,AH100))))</f>
        <v>1</v>
      </c>
      <c r="F100" s="91">
        <v>716</v>
      </c>
      <c r="G100" s="91">
        <v>304</v>
      </c>
      <c r="H100" s="91">
        <v>21</v>
      </c>
      <c r="I100" s="91">
        <v>40</v>
      </c>
      <c r="J100" s="91">
        <v>27</v>
      </c>
      <c r="K100" s="92">
        <v>300.66896480093436</v>
      </c>
      <c r="L100" s="93">
        <v>306.41423164426431</v>
      </c>
      <c r="M100" s="93">
        <v>38301.778955533038</v>
      </c>
      <c r="N100" s="93">
        <v>2.5596460032938491</v>
      </c>
      <c r="O100" s="94">
        <v>3292780581.6148057</v>
      </c>
      <c r="P100" s="93">
        <v>9197711.1218290664</v>
      </c>
      <c r="Q100" s="93">
        <v>10538987.676060114</v>
      </c>
      <c r="R100" s="95">
        <v>293.2053721066124</v>
      </c>
      <c r="S100" s="93">
        <v>187974306.53753087</v>
      </c>
      <c r="T100" s="93">
        <v>1236673.0693258611</v>
      </c>
      <c r="U100" s="93">
        <v>1928783.710832489</v>
      </c>
      <c r="V100" s="93">
        <v>70.055102505925134</v>
      </c>
      <c r="W100" s="94">
        <v>15990173.8508636</v>
      </c>
      <c r="X100" s="96">
        <v>21161034588647.102</v>
      </c>
      <c r="Y100" s="97">
        <v>1</v>
      </c>
      <c r="Z100" s="97">
        <v>1</v>
      </c>
      <c r="AA100" s="97">
        <v>1</v>
      </c>
      <c r="AB100" s="97">
        <v>1</v>
      </c>
      <c r="AC100" s="97">
        <v>1</v>
      </c>
      <c r="AD100" s="98">
        <v>1</v>
      </c>
      <c r="AE100" s="97">
        <v>1</v>
      </c>
      <c r="AF100" s="97">
        <v>1</v>
      </c>
      <c r="AG100" s="97">
        <v>1</v>
      </c>
      <c r="AH100" s="97">
        <v>1</v>
      </c>
      <c r="AI100" s="99">
        <f t="shared" si="11"/>
        <v>66.828384296862666</v>
      </c>
      <c r="AJ100" s="100">
        <f t="shared" si="12"/>
        <v>58.891416137944169</v>
      </c>
      <c r="AK100" s="101">
        <f t="shared" si="8"/>
        <v>53.261233698005654</v>
      </c>
      <c r="AL100" s="102">
        <f t="shared" si="13"/>
        <v>45.324265539087165</v>
      </c>
      <c r="AM100" s="103" t="str">
        <f t="shared" si="10"/>
        <v>HEM 800</v>
      </c>
    </row>
    <row r="101" spans="1:39">
      <c r="A101" s="86" t="s">
        <v>175</v>
      </c>
      <c r="B101" s="87">
        <f>IF(C101&lt;=2,Q101,P101)*IF(head!F$57="S235",235,IF(head!F$57="S275",275,IF(head!F$57="S355",355,IF(head!F$57="S420",420,460))))/1000000</f>
        <v>5744.3438161564591</v>
      </c>
      <c r="C101" s="88">
        <f>IF(head!$F$57="S235",Y101,IF(head!$F$57="S275",Z101,IF(head!$F$57="S355",AA101,IF(head!$F$57="S420",AB101,AC101))))</f>
        <v>1</v>
      </c>
      <c r="D101" s="89">
        <f>IF(E101&lt;=2,Q101,P101)*IF(head!F$57="S235",235,IF(head!F$57="S275",275,IF(head!F$57="S355",355,IF(head!F$57="S420",420,460))))/(head!$G$31*head!$G$32*1000000)</f>
        <v>6758.0515484193629</v>
      </c>
      <c r="E101" s="90">
        <f>IF(head!$F$57="S235",AD101,IF(head!$F$57="S275",AE101,IF(head!$F$57="S355",AF101,IF(head!$F$57="S420",AG101,AH101))))</f>
        <v>1</v>
      </c>
      <c r="F101" s="91">
        <v>814</v>
      </c>
      <c r="G101" s="91">
        <v>303</v>
      </c>
      <c r="H101" s="91">
        <v>21</v>
      </c>
      <c r="I101" s="91">
        <v>40</v>
      </c>
      <c r="J101" s="91">
        <v>30</v>
      </c>
      <c r="K101" s="92">
        <v>317.34854790238808</v>
      </c>
      <c r="L101" s="93">
        <v>323.41253289415346</v>
      </c>
      <c r="M101" s="93">
        <v>40426.566611769187</v>
      </c>
      <c r="N101" s="93">
        <v>2.7464955592153872</v>
      </c>
      <c r="O101" s="94">
        <v>4425980087.0196629</v>
      </c>
      <c r="P101" s="93">
        <v>10874643.94845126</v>
      </c>
      <c r="Q101" s="93">
        <v>12487703.948166216</v>
      </c>
      <c r="R101" s="95">
        <v>330.88059533323616</v>
      </c>
      <c r="S101" s="93">
        <v>186273674.37260246</v>
      </c>
      <c r="T101" s="93">
        <v>1229529.2037795542</v>
      </c>
      <c r="U101" s="93">
        <v>1930392.4477766522</v>
      </c>
      <c r="V101" s="93">
        <v>67.880074664887772</v>
      </c>
      <c r="W101" s="94">
        <v>16632545.879981199</v>
      </c>
      <c r="X101" s="96">
        <v>27472064427531.801</v>
      </c>
      <c r="Y101" s="97">
        <v>1</v>
      </c>
      <c r="Z101" s="97">
        <v>1</v>
      </c>
      <c r="AA101" s="97">
        <v>1</v>
      </c>
      <c r="AB101" s="97">
        <v>1</v>
      </c>
      <c r="AC101" s="97">
        <v>1</v>
      </c>
      <c r="AD101" s="98">
        <v>1</v>
      </c>
      <c r="AE101" s="97">
        <v>1</v>
      </c>
      <c r="AF101" s="97">
        <v>1</v>
      </c>
      <c r="AG101" s="97">
        <v>1</v>
      </c>
      <c r="AH101" s="97">
        <v>1</v>
      </c>
      <c r="AI101" s="99">
        <f t="shared" si="11"/>
        <v>67.937888111819348</v>
      </c>
      <c r="AJ101" s="100">
        <f t="shared" si="12"/>
        <v>60.4428167912737</v>
      </c>
      <c r="AK101" s="101">
        <f t="shared" si="8"/>
        <v>55.260690858412566</v>
      </c>
      <c r="AL101" s="102">
        <f t="shared" si="13"/>
        <v>47.765619537866897</v>
      </c>
      <c r="AM101" s="103" t="str">
        <f t="shared" si="10"/>
        <v>HEM 900</v>
      </c>
    </row>
    <row r="102" spans="1:39">
      <c r="A102" s="86" t="s">
        <v>176</v>
      </c>
      <c r="B102" s="87">
        <f>IF(C102&lt;=2,Q102,P102)*IF(head!F$57="S235",235,IF(head!F$57="S275",275,IF(head!F$57="S355",355,IF(head!F$57="S420",420,460))))/1000000</f>
        <v>6643.2110469443223</v>
      </c>
      <c r="C102" s="88">
        <f>IF(head!$F$57="S235",Y102,IF(head!$F$57="S275",Z102,IF(head!$F$57="S355",AA102,IF(head!$F$57="S420",AB102,AC102))))</f>
        <v>1</v>
      </c>
      <c r="D102" s="89">
        <f>IF(E102&lt;=2,Q102,P102)*IF(head!F$57="S235",235,IF(head!F$57="S275",275,IF(head!F$57="S355",355,IF(head!F$57="S420",420,460))))/(head!$G$31*head!$G$32*1000000)</f>
        <v>7815.5424081697911</v>
      </c>
      <c r="E102" s="90">
        <f>IF(head!$F$57="S235",AD102,IF(head!$F$57="S275",AE102,IF(head!$F$57="S355",AF102,IF(head!$F$57="S420",AG102,AH102))))</f>
        <v>1</v>
      </c>
      <c r="F102" s="91">
        <v>910</v>
      </c>
      <c r="G102" s="91">
        <v>302</v>
      </c>
      <c r="H102" s="91">
        <v>21</v>
      </c>
      <c r="I102" s="91">
        <v>40</v>
      </c>
      <c r="J102" s="91">
        <v>30</v>
      </c>
      <c r="K102" s="92">
        <v>332.5461479023881</v>
      </c>
      <c r="L102" s="93">
        <v>338.90053289415346</v>
      </c>
      <c r="M102" s="93">
        <v>42362.566611769187</v>
      </c>
      <c r="N102" s="93">
        <v>2.9344955592153874</v>
      </c>
      <c r="O102" s="94">
        <v>5704342096.8504677</v>
      </c>
      <c r="P102" s="93">
        <v>12537015.597473558</v>
      </c>
      <c r="Q102" s="93">
        <v>14441763.145531137</v>
      </c>
      <c r="R102" s="95">
        <v>366.95401938029499</v>
      </c>
      <c r="S102" s="93">
        <v>184517635.70593578</v>
      </c>
      <c r="T102" s="93">
        <v>1221971.0973903032</v>
      </c>
      <c r="U102" s="93">
        <v>1928876.4477766522</v>
      </c>
      <c r="V102" s="93">
        <v>65.997549167478496</v>
      </c>
      <c r="W102" s="94">
        <v>16886343.0651346</v>
      </c>
      <c r="X102" s="96">
        <v>34418545424146.496</v>
      </c>
      <c r="Y102" s="97">
        <v>1</v>
      </c>
      <c r="Z102" s="97">
        <v>1</v>
      </c>
      <c r="AA102" s="97">
        <v>1</v>
      </c>
      <c r="AB102" s="97">
        <v>1</v>
      </c>
      <c r="AC102" s="97">
        <v>1</v>
      </c>
      <c r="AD102" s="98">
        <v>1</v>
      </c>
      <c r="AE102" s="97">
        <v>1</v>
      </c>
      <c r="AF102" s="97">
        <v>1</v>
      </c>
      <c r="AG102" s="97">
        <v>1</v>
      </c>
      <c r="AH102" s="97">
        <v>1</v>
      </c>
      <c r="AI102" s="99">
        <f t="shared" si="11"/>
        <v>69.270957685555445</v>
      </c>
      <c r="AJ102" s="100">
        <f t="shared" si="12"/>
        <v>62.142022303342365</v>
      </c>
      <c r="AK102" s="101">
        <f t="shared" si="8"/>
        <v>57.220329028094426</v>
      </c>
      <c r="AL102" s="102">
        <f t="shared" si="13"/>
        <v>50.09139364588134</v>
      </c>
      <c r="AM102" s="103" t="str">
        <f t="shared" si="10"/>
        <v>HEM 1000</v>
      </c>
    </row>
    <row r="103" spans="1:39">
      <c r="A103" s="86" t="s">
        <v>177</v>
      </c>
      <c r="B103" s="87">
        <f>IF(C103&lt;=2,Q103,P103)*IF(head!F$57="S235",235,IF(head!F$57="S275",275,IF(head!F$57="S355",355,IF(head!F$57="S420",420,460))))/1000000</f>
        <v>7621.2569583736013</v>
      </c>
      <c r="C103" s="88">
        <f>IF(head!$F$57="S235",Y103,IF(head!$F$57="S275",Z103,IF(head!$F$57="S355",AA103,IF(head!$F$57="S420",AB103,AC103))))</f>
        <v>1</v>
      </c>
      <c r="D103" s="89">
        <f>IF(E103&lt;=2,Q103,P103)*IF(head!F$57="S235",235,IF(head!F$57="S275",275,IF(head!F$57="S355",355,IF(head!F$57="S420",420,460))))/(head!$G$31*head!$G$32*1000000)</f>
        <v>8966.1846569101181</v>
      </c>
      <c r="E103" s="90">
        <f>IF(head!$F$57="S235",AD103,IF(head!$F$57="S275",AE103,IF(head!$F$57="S355",AF103,IF(head!$F$57="S420",AG103,AH103))))</f>
        <v>1</v>
      </c>
      <c r="F103" s="91">
        <v>1008</v>
      </c>
      <c r="G103" s="91">
        <v>302</v>
      </c>
      <c r="H103" s="91">
        <v>21</v>
      </c>
      <c r="I103" s="91">
        <v>40</v>
      </c>
      <c r="J103" s="91">
        <v>30</v>
      </c>
      <c r="K103" s="92">
        <v>348.70144790238811</v>
      </c>
      <c r="L103" s="93">
        <v>355.36453289415346</v>
      </c>
      <c r="M103" s="93">
        <v>44420.566611769187</v>
      </c>
      <c r="N103" s="93">
        <v>3.1304955592153876</v>
      </c>
      <c r="O103" s="94">
        <v>7222994493.5473776</v>
      </c>
      <c r="P103" s="93">
        <v>14331338.280847972</v>
      </c>
      <c r="Q103" s="93">
        <v>16567949.909507828</v>
      </c>
      <c r="R103" s="95">
        <v>403.2427751366651</v>
      </c>
      <c r="S103" s="93">
        <v>184593267.20593578</v>
      </c>
      <c r="T103" s="93">
        <v>1222471.9682512302</v>
      </c>
      <c r="U103" s="93">
        <v>1939680.9477766522</v>
      </c>
      <c r="V103" s="93">
        <v>64.463796841438082</v>
      </c>
      <c r="W103" s="94">
        <v>17188988.359241001</v>
      </c>
      <c r="X103" s="96">
        <v>42664153291018.797</v>
      </c>
      <c r="Y103" s="97">
        <v>1</v>
      </c>
      <c r="Z103" s="97">
        <v>1</v>
      </c>
      <c r="AA103" s="97">
        <v>1</v>
      </c>
      <c r="AB103" s="97">
        <v>1</v>
      </c>
      <c r="AC103" s="97">
        <v>1</v>
      </c>
      <c r="AD103" s="98">
        <v>1</v>
      </c>
      <c r="AE103" s="97">
        <v>1</v>
      </c>
      <c r="AF103" s="97">
        <v>1</v>
      </c>
      <c r="AG103" s="97">
        <v>1</v>
      </c>
      <c r="AH103" s="97">
        <v>1</v>
      </c>
      <c r="AI103" s="99">
        <f t="shared" si="11"/>
        <v>70.4740123325209</v>
      </c>
      <c r="AJ103" s="100">
        <f t="shared" si="12"/>
        <v>63.675359748022217</v>
      </c>
      <c r="AK103" s="101">
        <f t="shared" si="8"/>
        <v>58.981687984723578</v>
      </c>
      <c r="AL103" s="102">
        <f t="shared" si="13"/>
        <v>52.183035400224902</v>
      </c>
      <c r="AM103" s="103" t="s">
        <v>49</v>
      </c>
    </row>
    <row r="104" spans="1:39">
      <c r="A104" s="105" t="s">
        <v>22</v>
      </c>
      <c r="B104" s="106">
        <v>0</v>
      </c>
      <c r="C104" s="107" t="s">
        <v>14</v>
      </c>
      <c r="D104" s="108" t="s">
        <v>61</v>
      </c>
      <c r="E104" s="109" t="s">
        <v>61</v>
      </c>
      <c r="F104" s="110" t="s">
        <v>60</v>
      </c>
      <c r="G104" s="110"/>
      <c r="H104" s="110"/>
      <c r="I104" s="110"/>
      <c r="J104" s="110"/>
      <c r="K104" s="111"/>
      <c r="L104" s="112"/>
      <c r="M104" s="112"/>
      <c r="N104" s="112"/>
      <c r="O104" s="113"/>
      <c r="P104" s="112"/>
      <c r="Q104" s="112"/>
      <c r="R104" s="114"/>
      <c r="S104" s="112"/>
      <c r="T104" s="112"/>
      <c r="U104" s="112"/>
      <c r="V104" s="112"/>
      <c r="W104" s="113"/>
      <c r="X104" s="115"/>
      <c r="Y104" s="116"/>
      <c r="Z104" s="116"/>
      <c r="AA104" s="116"/>
      <c r="AB104" s="116"/>
      <c r="AC104" s="116"/>
      <c r="AD104" s="117"/>
      <c r="AE104" s="116"/>
      <c r="AF104" s="116"/>
      <c r="AG104" s="116"/>
      <c r="AH104" s="116"/>
      <c r="AI104" s="118"/>
      <c r="AJ104" s="119"/>
      <c r="AK104" s="120"/>
      <c r="AL104" s="121"/>
      <c r="AM104" s="122" t="str">
        <f t="shared" ref="AM104:AM121" si="14">A105</f>
        <v>IPE 80</v>
      </c>
    </row>
    <row r="105" spans="1:39">
      <c r="A105" s="105" t="s">
        <v>65</v>
      </c>
      <c r="B105" s="106">
        <f>IF(C105&lt;=2,Q105,P105)*IF(head!F$57="S235",235,IF(head!F$57="S275",275,IF(head!F$57="S355",355,IF(head!F$57="S420",420,460))))/1000000</f>
        <v>10.679801050948111</v>
      </c>
      <c r="C105" s="123">
        <f>IF(head!$F$57="S235",Y105,IF(head!$F$57="S275",Z105,IF(head!$F$57="S355",AA105,IF(head!$F$57="S420",AB105,AC105))))</f>
        <v>1</v>
      </c>
      <c r="D105" s="108">
        <f>IF(E105&lt;=2,Q105,P105)*IF(head!F$57="S235",235,IF(head!F$57="S275",275,IF(head!F$57="S355",355,IF(head!F$57="S420",420,460))))/(head!$G$31*head!$G$32*1000000)</f>
        <v>12.564471824644837</v>
      </c>
      <c r="E105" s="124">
        <f>IF(head!$F$57="S235",AD105,IF(head!$F$57="S275",AE105,IF(head!$F$57="S355",AF105,IF(head!$F$57="S420",AG105,AH105))))</f>
        <v>1</v>
      </c>
      <c r="F105" s="110">
        <v>80</v>
      </c>
      <c r="G105" s="110">
        <v>46</v>
      </c>
      <c r="H105" s="110">
        <v>3.8</v>
      </c>
      <c r="I105" s="110">
        <v>5.2</v>
      </c>
      <c r="J105" s="110">
        <v>5</v>
      </c>
      <c r="K105" s="111">
        <v>6.000070441733004</v>
      </c>
      <c r="L105" s="112">
        <v>6.1147214692820411</v>
      </c>
      <c r="M105" s="112">
        <v>764.34018366025521</v>
      </c>
      <c r="N105" s="112">
        <v>0.32781592653589792</v>
      </c>
      <c r="O105" s="113">
        <v>801376.6927121965</v>
      </c>
      <c r="P105" s="112">
        <v>20034.417317804913</v>
      </c>
      <c r="Q105" s="112">
        <v>23216.958806408937</v>
      </c>
      <c r="R105" s="114">
        <v>32.379863039565706</v>
      </c>
      <c r="S105" s="112">
        <v>84890.303091941343</v>
      </c>
      <c r="T105" s="112">
        <v>3690.8827431278846</v>
      </c>
      <c r="U105" s="112">
        <v>5817.5979339224277</v>
      </c>
      <c r="V105" s="112">
        <v>10.53866733957755</v>
      </c>
      <c r="W105" s="113">
        <v>6727.1257904959602</v>
      </c>
      <c r="X105" s="115">
        <v>115139406.774572</v>
      </c>
      <c r="Y105" s="116">
        <v>1</v>
      </c>
      <c r="Z105" s="116">
        <v>1</v>
      </c>
      <c r="AA105" s="116">
        <v>1</v>
      </c>
      <c r="AB105" s="116">
        <v>1</v>
      </c>
      <c r="AC105" s="116">
        <v>1</v>
      </c>
      <c r="AD105" s="117">
        <v>1</v>
      </c>
      <c r="AE105" s="116">
        <v>1</v>
      </c>
      <c r="AF105" s="116">
        <v>1</v>
      </c>
      <c r="AG105" s="116">
        <v>1</v>
      </c>
      <c r="AH105" s="116">
        <v>1</v>
      </c>
      <c r="AI105" s="125">
        <f t="shared" ref="AI105:AI122" si="15">N105/M105*1000000</f>
        <v>428.88746862170763</v>
      </c>
      <c r="AJ105" s="126">
        <f t="shared" ref="AJ105:AJ122" si="16">(N105*1000-G105)/M105*1000</f>
        <v>368.70484184979534</v>
      </c>
      <c r="AK105" s="127">
        <f t="shared" ref="AK105:AK122" si="17">2*(F105+G105)/M105*1000</f>
        <v>329.69612927221493</v>
      </c>
      <c r="AL105" s="128">
        <f t="shared" ref="AL105:AL122" si="18">(2*F105+G105)/M105*1000</f>
        <v>269.51350250030271</v>
      </c>
      <c r="AM105" s="122" t="str">
        <f t="shared" si="14"/>
        <v>IPE 100</v>
      </c>
    </row>
    <row r="106" spans="1:39">
      <c r="A106" s="105" t="s">
        <v>66</v>
      </c>
      <c r="B106" s="106">
        <f>IF(C106&lt;=2,Q106,P106)*IF(head!F$57="S235",235,IF(head!F$57="S275",275,IF(head!F$57="S355",355,IF(head!F$57="S420",420,460))))/1000000</f>
        <v>18.127144915902278</v>
      </c>
      <c r="C106" s="123">
        <f>IF(head!$F$57="S235",Y106,IF(head!$F$57="S275",Z106,IF(head!$F$57="S355",AA106,IF(head!$F$57="S420",AB106,AC106))))</f>
        <v>1</v>
      </c>
      <c r="D106" s="108">
        <f>IF(E106&lt;=2,Q106,P106)*IF(head!F$57="S235",235,IF(head!F$57="S275",275,IF(head!F$57="S355",355,IF(head!F$57="S420",420,460))))/(head!$G$31*head!$G$32*1000000)</f>
        <v>21.326052842237974</v>
      </c>
      <c r="E106" s="124">
        <f>IF(head!$F$57="S235",AD106,IF(head!$F$57="S275",AE106,IF(head!$F$57="S355",AF106,IF(head!$F$57="S420",AG106,AH106))))</f>
        <v>1</v>
      </c>
      <c r="F106" s="110">
        <v>100</v>
      </c>
      <c r="G106" s="110">
        <v>55</v>
      </c>
      <c r="H106" s="110">
        <v>4.0999999999999996</v>
      </c>
      <c r="I106" s="110">
        <v>5.7</v>
      </c>
      <c r="J106" s="110">
        <v>7</v>
      </c>
      <c r="K106" s="111">
        <v>8.1037273857966863</v>
      </c>
      <c r="L106" s="112">
        <v>8.2585756797928003</v>
      </c>
      <c r="M106" s="112">
        <v>1032.3219599741001</v>
      </c>
      <c r="N106" s="112">
        <v>0.39978229715025715</v>
      </c>
      <c r="O106" s="113">
        <v>1710121.2924353825</v>
      </c>
      <c r="P106" s="112">
        <v>34202.425848707651</v>
      </c>
      <c r="Q106" s="112">
        <v>39406.836773700605</v>
      </c>
      <c r="R106" s="114">
        <v>40.701074457735935</v>
      </c>
      <c r="S106" s="112">
        <v>159186.82206979481</v>
      </c>
      <c r="T106" s="112">
        <v>5788.6117116289024</v>
      </c>
      <c r="U106" s="112">
        <v>9145.5855710989399</v>
      </c>
      <c r="V106" s="112">
        <v>12.417837530354927</v>
      </c>
      <c r="W106" s="113">
        <v>11533.9659326781</v>
      </c>
      <c r="X106" s="115">
        <v>342103145.071266</v>
      </c>
      <c r="Y106" s="116">
        <v>1</v>
      </c>
      <c r="Z106" s="116">
        <v>1</v>
      </c>
      <c r="AA106" s="116">
        <v>1</v>
      </c>
      <c r="AB106" s="116">
        <v>1</v>
      </c>
      <c r="AC106" s="116">
        <v>1</v>
      </c>
      <c r="AD106" s="117">
        <v>1</v>
      </c>
      <c r="AE106" s="116">
        <v>1</v>
      </c>
      <c r="AF106" s="116">
        <v>1</v>
      </c>
      <c r="AG106" s="116">
        <v>1</v>
      </c>
      <c r="AH106" s="116">
        <v>1</v>
      </c>
      <c r="AI106" s="125">
        <f t="shared" si="15"/>
        <v>387.26512914661549</v>
      </c>
      <c r="AJ106" s="126">
        <f t="shared" si="16"/>
        <v>333.98717698392016</v>
      </c>
      <c r="AK106" s="127">
        <f t="shared" si="17"/>
        <v>300.2939121897374</v>
      </c>
      <c r="AL106" s="128">
        <f t="shared" si="18"/>
        <v>247.01596002704204</v>
      </c>
      <c r="AM106" s="122" t="str">
        <f t="shared" si="14"/>
        <v>IPE 120</v>
      </c>
    </row>
    <row r="107" spans="1:39">
      <c r="A107" s="105" t="s">
        <v>67</v>
      </c>
      <c r="B107" s="106">
        <f>IF(C107&lt;=2,Q107,P107)*IF(head!F$57="S235",235,IF(head!F$57="S275",275,IF(head!F$57="S355",355,IF(head!F$57="S420",420,460))))/1000000</f>
        <v>27.933516650830285</v>
      </c>
      <c r="C107" s="123">
        <f>IF(head!$F$57="S235",Y107,IF(head!$F$57="S275",Z107,IF(head!$F$57="S355",AA107,IF(head!$F$57="S420",AB107,AC107))))</f>
        <v>1</v>
      </c>
      <c r="D107" s="108">
        <f>IF(E107&lt;=2,Q107,P107)*IF(head!F$57="S235",235,IF(head!F$57="S275",275,IF(head!F$57="S355",355,IF(head!F$57="S420",420,460))))/(head!$G$31*head!$G$32*1000000)</f>
        <v>32.862960765682686</v>
      </c>
      <c r="E107" s="124">
        <f>IF(head!$F$57="S235",AD107,IF(head!$F$57="S275",AE107,IF(head!$F$57="S355",AF107,IF(head!$F$57="S420",AG107,AH107))))</f>
        <v>1</v>
      </c>
      <c r="F107" s="110">
        <v>120</v>
      </c>
      <c r="G107" s="110">
        <v>64</v>
      </c>
      <c r="H107" s="110">
        <v>4.4000000000000004</v>
      </c>
      <c r="I107" s="110">
        <v>6.3</v>
      </c>
      <c r="J107" s="110">
        <v>7</v>
      </c>
      <c r="K107" s="111">
        <v>10.370022385796686</v>
      </c>
      <c r="L107" s="112">
        <v>10.568175679792802</v>
      </c>
      <c r="M107" s="112">
        <v>1321.0219599741001</v>
      </c>
      <c r="N107" s="112">
        <v>0.47518229715025712</v>
      </c>
      <c r="O107" s="113">
        <v>3177533.8876975956</v>
      </c>
      <c r="P107" s="112">
        <v>52958.898128293258</v>
      </c>
      <c r="Q107" s="112">
        <v>60725.036197457142</v>
      </c>
      <c r="R107" s="114">
        <v>49.04447352228263</v>
      </c>
      <c r="S107" s="112">
        <v>276681.84676855715</v>
      </c>
      <c r="T107" s="112">
        <v>8646.307711517411</v>
      </c>
      <c r="U107" s="112">
        <v>13580.519365095055</v>
      </c>
      <c r="V107" s="112">
        <v>14.472225280989763</v>
      </c>
      <c r="W107" s="113">
        <v>16890.2388405567</v>
      </c>
      <c r="X107" s="115">
        <v>871959883.40680695</v>
      </c>
      <c r="Y107" s="116">
        <v>1</v>
      </c>
      <c r="Z107" s="116">
        <v>1</v>
      </c>
      <c r="AA107" s="116">
        <v>1</v>
      </c>
      <c r="AB107" s="116">
        <v>1</v>
      </c>
      <c r="AC107" s="116">
        <v>1</v>
      </c>
      <c r="AD107" s="117">
        <v>1</v>
      </c>
      <c r="AE107" s="116">
        <v>1</v>
      </c>
      <c r="AF107" s="116">
        <v>1</v>
      </c>
      <c r="AG107" s="116">
        <v>1</v>
      </c>
      <c r="AH107" s="116">
        <v>1</v>
      </c>
      <c r="AI107" s="125">
        <f t="shared" si="15"/>
        <v>359.70809838738296</v>
      </c>
      <c r="AJ107" s="126">
        <f t="shared" si="16"/>
        <v>311.26075841942759</v>
      </c>
      <c r="AK107" s="127">
        <f t="shared" si="17"/>
        <v>278.57220481574359</v>
      </c>
      <c r="AL107" s="128">
        <f t="shared" si="18"/>
        <v>230.12486484778816</v>
      </c>
      <c r="AM107" s="122" t="str">
        <f t="shared" si="14"/>
        <v>IPE 140</v>
      </c>
    </row>
    <row r="108" spans="1:39">
      <c r="A108" s="105" t="s">
        <v>68</v>
      </c>
      <c r="B108" s="106">
        <f>IF(C108&lt;=2,Q108,P108)*IF(head!F$57="S235",235,IF(head!F$57="S275",275,IF(head!F$57="S355",355,IF(head!F$57="S420",420,460))))/1000000</f>
        <v>40.638414625758301</v>
      </c>
      <c r="C108" s="123">
        <f>IF(head!$F$57="S235",Y108,IF(head!$F$57="S275",Z108,IF(head!$F$57="S355",AA108,IF(head!$F$57="S420",AB108,AC108))))</f>
        <v>1</v>
      </c>
      <c r="D108" s="108">
        <f>IF(E108&lt;=2,Q108,P108)*IF(head!F$57="S235",235,IF(head!F$57="S275",275,IF(head!F$57="S355",355,IF(head!F$57="S420",420,460))))/(head!$G$31*head!$G$32*1000000)</f>
        <v>47.809899559715646</v>
      </c>
      <c r="E108" s="124">
        <f>IF(head!$F$57="S235",AD108,IF(head!$F$57="S275",AE108,IF(head!$F$57="S355",AF108,IF(head!$F$57="S420",AG108,AH108))))</f>
        <v>1</v>
      </c>
      <c r="F108" s="110">
        <v>140</v>
      </c>
      <c r="G108" s="110">
        <v>73</v>
      </c>
      <c r="H108" s="110">
        <v>4.7</v>
      </c>
      <c r="I108" s="110">
        <v>6.9</v>
      </c>
      <c r="J108" s="110">
        <v>7</v>
      </c>
      <c r="K108" s="111">
        <v>12.894425385796685</v>
      </c>
      <c r="L108" s="112">
        <v>13.140815679792802</v>
      </c>
      <c r="M108" s="112">
        <v>1642.6019599741001</v>
      </c>
      <c r="N108" s="112">
        <v>0.55058229715025708</v>
      </c>
      <c r="O108" s="113">
        <v>5412240.4365264364</v>
      </c>
      <c r="P108" s="112">
        <v>77317.72052180623</v>
      </c>
      <c r="Q108" s="112">
        <v>88344.379621213695</v>
      </c>
      <c r="R108" s="114">
        <v>57.4013851554014</v>
      </c>
      <c r="S108" s="112">
        <v>449178.10925551853</v>
      </c>
      <c r="T108" s="112">
        <v>12306.249568644344</v>
      </c>
      <c r="U108" s="112">
        <v>19246.60215909117</v>
      </c>
      <c r="V108" s="112">
        <v>16.536482020224877</v>
      </c>
      <c r="W108" s="113">
        <v>24013.0219027161</v>
      </c>
      <c r="X108" s="115">
        <v>1950604611.9844201</v>
      </c>
      <c r="Y108" s="116">
        <v>1</v>
      </c>
      <c r="Z108" s="116">
        <v>1</v>
      </c>
      <c r="AA108" s="116">
        <v>1</v>
      </c>
      <c r="AB108" s="116">
        <v>1</v>
      </c>
      <c r="AC108" s="116">
        <v>1</v>
      </c>
      <c r="AD108" s="117">
        <v>1</v>
      </c>
      <c r="AE108" s="116">
        <v>1</v>
      </c>
      <c r="AF108" s="116">
        <v>1</v>
      </c>
      <c r="AG108" s="116">
        <v>1</v>
      </c>
      <c r="AH108" s="116">
        <v>1</v>
      </c>
      <c r="AI108" s="125">
        <f t="shared" si="15"/>
        <v>335.18911493259054</v>
      </c>
      <c r="AJ108" s="126">
        <f t="shared" si="16"/>
        <v>290.74742925412522</v>
      </c>
      <c r="AK108" s="127">
        <f t="shared" si="17"/>
        <v>259.34463149350984</v>
      </c>
      <c r="AL108" s="128">
        <f t="shared" si="18"/>
        <v>214.90294581504455</v>
      </c>
      <c r="AM108" s="122" t="str">
        <f t="shared" si="14"/>
        <v>IPE 160</v>
      </c>
    </row>
    <row r="109" spans="1:39">
      <c r="A109" s="105" t="s">
        <v>69</v>
      </c>
      <c r="B109" s="106">
        <f>IF(C109&lt;=2,Q109,P109)*IF(head!F$57="S235",235,IF(head!F$57="S275",275,IF(head!F$57="S355",355,IF(head!F$57="S420",420,460))))/1000000</f>
        <v>56.975439591452734</v>
      </c>
      <c r="C109" s="123">
        <f>IF(head!$F$57="S235",Y109,IF(head!$F$57="S275",Z109,IF(head!$F$57="S355",AA109,IF(head!$F$57="S420",AB109,AC109))))</f>
        <v>1</v>
      </c>
      <c r="D109" s="108">
        <f>IF(E109&lt;=2,Q109,P109)*IF(head!F$57="S235",235,IF(head!F$57="S275",275,IF(head!F$57="S355",355,IF(head!F$57="S420",420,460))))/(head!$G$31*head!$G$32*1000000)</f>
        <v>67.029928931120864</v>
      </c>
      <c r="E109" s="124">
        <f>IF(head!$F$57="S235",AD109,IF(head!$F$57="S275",AE109,IF(head!$F$57="S355",AF109,IF(head!$F$57="S420",AG109,AH109))))</f>
        <v>1</v>
      </c>
      <c r="F109" s="110">
        <v>160</v>
      </c>
      <c r="G109" s="110">
        <v>82</v>
      </c>
      <c r="H109" s="110">
        <v>5</v>
      </c>
      <c r="I109" s="110">
        <v>7.4</v>
      </c>
      <c r="J109" s="110">
        <v>9</v>
      </c>
      <c r="K109" s="111">
        <v>15.771678311214931</v>
      </c>
      <c r="L109" s="112">
        <v>16.073047960473815</v>
      </c>
      <c r="M109" s="112">
        <v>2009.130995059227</v>
      </c>
      <c r="N109" s="112">
        <v>0.62254866776461626</v>
      </c>
      <c r="O109" s="113">
        <v>8692929.2617580555</v>
      </c>
      <c r="P109" s="112">
        <v>108661.61577197569</v>
      </c>
      <c r="Q109" s="112">
        <v>123859.65128576681</v>
      </c>
      <c r="R109" s="114">
        <v>65.777739717202493</v>
      </c>
      <c r="S109" s="112">
        <v>683145.51007986546</v>
      </c>
      <c r="T109" s="112">
        <v>16662.085611704035</v>
      </c>
      <c r="U109" s="112">
        <v>26099.906443181113</v>
      </c>
      <c r="V109" s="112">
        <v>18.439641883092321</v>
      </c>
      <c r="W109" s="113">
        <v>35310.3056457809</v>
      </c>
      <c r="X109" s="115">
        <v>3888651062.4926701</v>
      </c>
      <c r="Y109" s="116">
        <v>1</v>
      </c>
      <c r="Z109" s="116">
        <v>1</v>
      </c>
      <c r="AA109" s="116">
        <v>1</v>
      </c>
      <c r="AB109" s="116">
        <v>1</v>
      </c>
      <c r="AC109" s="116">
        <v>1</v>
      </c>
      <c r="AD109" s="117">
        <v>1</v>
      </c>
      <c r="AE109" s="116">
        <v>1</v>
      </c>
      <c r="AF109" s="116">
        <v>1</v>
      </c>
      <c r="AG109" s="116">
        <v>1</v>
      </c>
      <c r="AH109" s="116">
        <v>1</v>
      </c>
      <c r="AI109" s="125">
        <f t="shared" si="15"/>
        <v>309.85967032292194</v>
      </c>
      <c r="AJ109" s="126">
        <f t="shared" si="16"/>
        <v>269.04600501107774</v>
      </c>
      <c r="AK109" s="127">
        <f t="shared" si="17"/>
        <v>240.90017086503224</v>
      </c>
      <c r="AL109" s="128">
        <f t="shared" si="18"/>
        <v>200.08650555318795</v>
      </c>
      <c r="AM109" s="122" t="str">
        <f t="shared" si="14"/>
        <v>IPE 180</v>
      </c>
    </row>
    <row r="110" spans="1:39">
      <c r="A110" s="105" t="s">
        <v>70</v>
      </c>
      <c r="B110" s="106">
        <f>IF(C110&lt;=2,Q110,P110)*IF(head!F$57="S235",235,IF(head!F$57="S275",275,IF(head!F$57="S355",355,IF(head!F$57="S420",420,460))))/1000000</f>
        <v>76.550882814088837</v>
      </c>
      <c r="C110" s="123">
        <f>IF(head!$F$57="S235",Y110,IF(head!$F$57="S275",Z110,IF(head!$F$57="S355",AA110,IF(head!$F$57="S420",AB110,AC110))))</f>
        <v>1</v>
      </c>
      <c r="D110" s="108">
        <f>IF(E110&lt;=2,Q110,P110)*IF(head!F$57="S235",235,IF(head!F$57="S275",275,IF(head!F$57="S355",355,IF(head!F$57="S420",420,460))))/(head!$G$31*head!$G$32*1000000)</f>
        <v>90.059862134222158</v>
      </c>
      <c r="E110" s="124">
        <f>IF(head!$F$57="S235",AD110,IF(head!$F$57="S275",AE110,IF(head!$F$57="S355",AF110,IF(head!$F$57="S420",AG110,AH110))))</f>
        <v>1</v>
      </c>
      <c r="F110" s="110">
        <v>180</v>
      </c>
      <c r="G110" s="110">
        <v>91</v>
      </c>
      <c r="H110" s="110">
        <v>5.3</v>
      </c>
      <c r="I110" s="110">
        <v>8</v>
      </c>
      <c r="J110" s="110">
        <v>9</v>
      </c>
      <c r="K110" s="111">
        <v>18.798638311214926</v>
      </c>
      <c r="L110" s="112">
        <v>19.157847960473813</v>
      </c>
      <c r="M110" s="112">
        <v>2394.7309950592266</v>
      </c>
      <c r="N110" s="112">
        <v>0.69794866776461628</v>
      </c>
      <c r="O110" s="113">
        <v>13169589.941987235</v>
      </c>
      <c r="P110" s="112">
        <v>146328.7771331915</v>
      </c>
      <c r="Q110" s="112">
        <v>166414.96263932355</v>
      </c>
      <c r="R110" s="114">
        <v>74.157957320947602</v>
      </c>
      <c r="S110" s="112">
        <v>1008504.1087935419</v>
      </c>
      <c r="T110" s="112">
        <v>22164.925467989931</v>
      </c>
      <c r="U110" s="112">
        <v>34599.726092439989</v>
      </c>
      <c r="V110" s="112">
        <v>20.521564563746711</v>
      </c>
      <c r="W110" s="113">
        <v>47237.725762641108</v>
      </c>
      <c r="X110" s="115">
        <v>7321753075.0675602</v>
      </c>
      <c r="Y110" s="116">
        <v>1</v>
      </c>
      <c r="Z110" s="116">
        <v>1</v>
      </c>
      <c r="AA110" s="116">
        <v>1</v>
      </c>
      <c r="AB110" s="116">
        <v>1</v>
      </c>
      <c r="AC110" s="116">
        <v>1</v>
      </c>
      <c r="AD110" s="117">
        <v>1</v>
      </c>
      <c r="AE110" s="116">
        <v>1</v>
      </c>
      <c r="AF110" s="116">
        <v>1</v>
      </c>
      <c r="AG110" s="116">
        <v>1</v>
      </c>
      <c r="AH110" s="116">
        <v>1</v>
      </c>
      <c r="AI110" s="125">
        <f t="shared" si="15"/>
        <v>291.45180364918377</v>
      </c>
      <c r="AJ110" s="126">
        <f t="shared" si="16"/>
        <v>253.45171086725969</v>
      </c>
      <c r="AK110" s="127">
        <f t="shared" si="17"/>
        <v>226.33022294288853</v>
      </c>
      <c r="AL110" s="128">
        <f t="shared" si="18"/>
        <v>188.33013016096442</v>
      </c>
      <c r="AM110" s="122" t="str">
        <f t="shared" si="14"/>
        <v>IPE 200</v>
      </c>
    </row>
    <row r="111" spans="1:39">
      <c r="A111" s="105" t="s">
        <v>71</v>
      </c>
      <c r="B111" s="106">
        <f>IF(C111&lt;=2,Q111,P111)*IF(head!F$57="S235",235,IF(head!F$57="S275",275,IF(head!F$57="S355",355,IF(head!F$57="S420",420,460))))/1000000</f>
        <v>101.49377775878386</v>
      </c>
      <c r="C111" s="123">
        <f>IF(head!$F$57="S235",Y111,IF(head!$F$57="S275",Z111,IF(head!$F$57="S355",AA111,IF(head!$F$57="S420",AB111,AC111))))</f>
        <v>1</v>
      </c>
      <c r="D111" s="108">
        <f>IF(E111&lt;=2,Q111,P111)*IF(head!F$57="S235",235,IF(head!F$57="S275",275,IF(head!F$57="S355",355,IF(head!F$57="S420",420,460))))/(head!$G$31*head!$G$32*1000000)</f>
        <v>119.40444442209866</v>
      </c>
      <c r="E111" s="124">
        <f>IF(head!$F$57="S235",AD111,IF(head!$F$57="S275",AE111,IF(head!$F$57="S355",AF111,IF(head!$F$57="S420",AG111,AH111))))</f>
        <v>1</v>
      </c>
      <c r="F111" s="110">
        <v>200</v>
      </c>
      <c r="G111" s="110">
        <v>100</v>
      </c>
      <c r="H111" s="110">
        <v>5.6</v>
      </c>
      <c r="I111" s="110">
        <v>8.5</v>
      </c>
      <c r="J111" s="110">
        <v>12</v>
      </c>
      <c r="K111" s="111">
        <v>22.360023664382101</v>
      </c>
      <c r="L111" s="112">
        <v>22.787285263064561</v>
      </c>
      <c r="M111" s="112">
        <v>2848.4106578830701</v>
      </c>
      <c r="N111" s="112">
        <v>0.76819822368615498</v>
      </c>
      <c r="O111" s="113">
        <v>19431682.51083592</v>
      </c>
      <c r="P111" s="112">
        <v>194316.82510835919</v>
      </c>
      <c r="Q111" s="112">
        <v>220638.64730170404</v>
      </c>
      <c r="R111" s="114">
        <v>82.595027472588967</v>
      </c>
      <c r="S111" s="112">
        <v>1423683.2728531647</v>
      </c>
      <c r="T111" s="112">
        <v>28473.665457063293</v>
      </c>
      <c r="U111" s="112">
        <v>44612.157736669433</v>
      </c>
      <c r="V111" s="112">
        <v>22.356581138819376</v>
      </c>
      <c r="W111" s="113">
        <v>68483.357396329302</v>
      </c>
      <c r="X111" s="115">
        <v>12745785999.1719</v>
      </c>
      <c r="Y111" s="116">
        <v>1</v>
      </c>
      <c r="Z111" s="116">
        <v>1</v>
      </c>
      <c r="AA111" s="116">
        <v>1</v>
      </c>
      <c r="AB111" s="116">
        <v>1</v>
      </c>
      <c r="AC111" s="116">
        <v>1</v>
      </c>
      <c r="AD111" s="117">
        <v>1</v>
      </c>
      <c r="AE111" s="116">
        <v>1</v>
      </c>
      <c r="AF111" s="116">
        <v>1</v>
      </c>
      <c r="AG111" s="116">
        <v>1</v>
      </c>
      <c r="AH111" s="116">
        <v>1</v>
      </c>
      <c r="AI111" s="125">
        <f t="shared" si="15"/>
        <v>269.69363478546927</v>
      </c>
      <c r="AJ111" s="126">
        <f t="shared" si="16"/>
        <v>234.5863374148297</v>
      </c>
      <c r="AK111" s="127">
        <f t="shared" si="17"/>
        <v>210.64378422383734</v>
      </c>
      <c r="AL111" s="128">
        <f t="shared" si="18"/>
        <v>175.53648685319777</v>
      </c>
      <c r="AM111" s="122" t="str">
        <f t="shared" si="14"/>
        <v>IPE 220</v>
      </c>
    </row>
    <row r="112" spans="1:39">
      <c r="A112" s="105" t="s">
        <v>72</v>
      </c>
      <c r="B112" s="106">
        <f>IF(C112&lt;=2,Q112,P112)*IF(head!F$57="S235",235,IF(head!F$57="S275",275,IF(head!F$57="S355",355,IF(head!F$57="S420",420,460))))/1000000</f>
        <v>131.2867611132076</v>
      </c>
      <c r="C112" s="123">
        <f>IF(head!$F$57="S235",Y112,IF(head!$F$57="S275",Z112,IF(head!$F$57="S355",AA112,IF(head!$F$57="S420",AB112,AC112))))</f>
        <v>1</v>
      </c>
      <c r="D112" s="108">
        <f>IF(E112&lt;=2,Q112,P112)*IF(head!F$57="S235",235,IF(head!F$57="S275",275,IF(head!F$57="S355",355,IF(head!F$57="S420",420,460))))/(head!$G$31*head!$G$32*1000000)</f>
        <v>154.45501307436189</v>
      </c>
      <c r="E112" s="124">
        <f>IF(head!$F$57="S235",AD112,IF(head!$F$57="S275",AE112,IF(head!$F$57="S355",AF112,IF(head!$F$57="S420",AG112,AH112))))</f>
        <v>1</v>
      </c>
      <c r="F112" s="110">
        <v>220</v>
      </c>
      <c r="G112" s="110">
        <v>110</v>
      </c>
      <c r="H112" s="110">
        <v>5.9</v>
      </c>
      <c r="I112" s="110">
        <v>9.1999999999999993</v>
      </c>
      <c r="J112" s="110">
        <v>12</v>
      </c>
      <c r="K112" s="111">
        <v>26.195847664382097</v>
      </c>
      <c r="L112" s="112">
        <v>26.696405263064555</v>
      </c>
      <c r="M112" s="112">
        <v>3337.0506578830696</v>
      </c>
      <c r="N112" s="112">
        <v>0.84759822368615501</v>
      </c>
      <c r="O112" s="113">
        <v>27718387.94364794</v>
      </c>
      <c r="P112" s="112">
        <v>251985.34494225399</v>
      </c>
      <c r="Q112" s="112">
        <v>285406.00242001651</v>
      </c>
      <c r="R112" s="114">
        <v>91.138648614810094</v>
      </c>
      <c r="S112" s="112">
        <v>2048861.5086139673</v>
      </c>
      <c r="T112" s="112">
        <v>37252.027429344867</v>
      </c>
      <c r="U112" s="112">
        <v>58110.40333535189</v>
      </c>
      <c r="V112" s="112">
        <v>24.778493712800756</v>
      </c>
      <c r="W112" s="113">
        <v>89836.901121749703</v>
      </c>
      <c r="X112" s="115">
        <v>22309856872.265202</v>
      </c>
      <c r="Y112" s="116">
        <v>1</v>
      </c>
      <c r="Z112" s="116">
        <v>1</v>
      </c>
      <c r="AA112" s="116">
        <v>1</v>
      </c>
      <c r="AB112" s="116">
        <v>1</v>
      </c>
      <c r="AC112" s="116">
        <v>1</v>
      </c>
      <c r="AD112" s="117">
        <v>1</v>
      </c>
      <c r="AE112" s="116">
        <v>1</v>
      </c>
      <c r="AF112" s="116">
        <v>1</v>
      </c>
      <c r="AG112" s="116">
        <v>1</v>
      </c>
      <c r="AH112" s="116">
        <v>1</v>
      </c>
      <c r="AI112" s="125">
        <f t="shared" si="15"/>
        <v>253.99621120041593</v>
      </c>
      <c r="AJ112" s="126">
        <f t="shared" si="16"/>
        <v>221.03297171822572</v>
      </c>
      <c r="AK112" s="127">
        <f t="shared" si="17"/>
        <v>197.77943689314122</v>
      </c>
      <c r="AL112" s="128">
        <f t="shared" si="18"/>
        <v>164.81619741095102</v>
      </c>
      <c r="AM112" s="122" t="str">
        <f t="shared" si="14"/>
        <v>IPE 240</v>
      </c>
    </row>
    <row r="113" spans="1:39">
      <c r="A113" s="105" t="s">
        <v>73</v>
      </c>
      <c r="B113" s="106">
        <f>IF(C113&lt;=2,Q113,P113)*IF(head!F$57="S235",235,IF(head!F$57="S275",275,IF(head!F$57="S355",355,IF(head!F$57="S420",420,460))))/1000000</f>
        <v>168.65685334564904</v>
      </c>
      <c r="C113" s="123">
        <f>IF(head!$F$57="S235",Y113,IF(head!$F$57="S275",Z113,IF(head!$F$57="S355",AA113,IF(head!$F$57="S420",AB113,AC113))))</f>
        <v>1</v>
      </c>
      <c r="D113" s="108">
        <f>IF(E113&lt;=2,Q113,P113)*IF(head!F$57="S235",235,IF(head!F$57="S275",275,IF(head!F$57="S355",355,IF(head!F$57="S420",420,460))))/(head!$G$31*head!$G$32*1000000)</f>
        <v>198.41982746546944</v>
      </c>
      <c r="E113" s="124">
        <f>IF(head!$F$57="S235",AD113,IF(head!$F$57="S275",AE113,IF(head!$F$57="S355",AF113,IF(head!$F$57="S420",AG113,AH113))))</f>
        <v>1</v>
      </c>
      <c r="F113" s="110">
        <v>240</v>
      </c>
      <c r="G113" s="110">
        <v>120</v>
      </c>
      <c r="H113" s="110">
        <v>6.2</v>
      </c>
      <c r="I113" s="110">
        <v>9.8000000000000007</v>
      </c>
      <c r="J113" s="110">
        <v>15</v>
      </c>
      <c r="K113" s="111">
        <v>30.706229975597029</v>
      </c>
      <c r="L113" s="112">
        <v>31.292973223538368</v>
      </c>
      <c r="M113" s="112">
        <v>3911.6216529422964</v>
      </c>
      <c r="N113" s="112">
        <v>0.92184777960769382</v>
      </c>
      <c r="O113" s="113">
        <v>38916262.363993488</v>
      </c>
      <c r="P113" s="112">
        <v>324302.18636661238</v>
      </c>
      <c r="Q113" s="112">
        <v>366645.33336010663</v>
      </c>
      <c r="R113" s="114">
        <v>99.744082672502486</v>
      </c>
      <c r="S113" s="112">
        <v>2836341.6458317628</v>
      </c>
      <c r="T113" s="112">
        <v>47272.360763862722</v>
      </c>
      <c r="U113" s="112">
        <v>73923.907918255558</v>
      </c>
      <c r="V113" s="112">
        <v>26.927798579148277</v>
      </c>
      <c r="W113" s="113">
        <v>127414.51787382401</v>
      </c>
      <c r="X113" s="115">
        <v>36679138597.048103</v>
      </c>
      <c r="Y113" s="116">
        <v>1</v>
      </c>
      <c r="Z113" s="116">
        <v>1</v>
      </c>
      <c r="AA113" s="116">
        <v>1</v>
      </c>
      <c r="AB113" s="116">
        <v>1</v>
      </c>
      <c r="AC113" s="116">
        <v>1</v>
      </c>
      <c r="AD113" s="117">
        <v>1</v>
      </c>
      <c r="AE113" s="116">
        <v>1</v>
      </c>
      <c r="AF113" s="116">
        <v>1</v>
      </c>
      <c r="AG113" s="116">
        <v>1</v>
      </c>
      <c r="AH113" s="116">
        <v>1</v>
      </c>
      <c r="AI113" s="125">
        <f t="shared" si="15"/>
        <v>235.66895303237877</v>
      </c>
      <c r="AJ113" s="126">
        <f t="shared" si="16"/>
        <v>204.99113941772694</v>
      </c>
      <c r="AK113" s="127">
        <f t="shared" si="17"/>
        <v>184.06688168791086</v>
      </c>
      <c r="AL113" s="128">
        <f t="shared" si="18"/>
        <v>153.38906807325907</v>
      </c>
      <c r="AM113" s="122" t="str">
        <f t="shared" si="14"/>
        <v>IPE 270</v>
      </c>
    </row>
    <row r="114" spans="1:39">
      <c r="A114" s="105" t="s">
        <v>74</v>
      </c>
      <c r="B114" s="106">
        <f>IF(C114&lt;=2,Q114,P114)*IF(head!F$57="S235",235,IF(head!F$57="S275",275,IF(head!F$57="S355",355,IF(head!F$57="S420",420,460))))/1000000</f>
        <v>222.63853604680952</v>
      </c>
      <c r="C114" s="123">
        <f>IF(head!$F$57="S235",Y114,IF(head!$F$57="S275",Z114,IF(head!$F$57="S355",AA114,IF(head!$F$57="S420",AB114,AC114))))</f>
        <v>1</v>
      </c>
      <c r="D114" s="108">
        <f>IF(E114&lt;=2,Q114,P114)*IF(head!F$57="S235",235,IF(head!F$57="S275",275,IF(head!F$57="S355",355,IF(head!F$57="S420",420,460))))/(head!$G$31*head!$G$32*1000000)</f>
        <v>261.92768946683475</v>
      </c>
      <c r="E114" s="124">
        <f>IF(head!$F$57="S235",AD114,IF(head!$F$57="S275",AE114,IF(head!$F$57="S355",AF114,IF(head!$F$57="S420",AG114,AH114))))</f>
        <v>1</v>
      </c>
      <c r="F114" s="110">
        <v>270</v>
      </c>
      <c r="G114" s="110">
        <v>135</v>
      </c>
      <c r="H114" s="110">
        <v>6.6</v>
      </c>
      <c r="I114" s="110">
        <v>10.199999999999999</v>
      </c>
      <c r="J114" s="110">
        <v>15</v>
      </c>
      <c r="K114" s="111">
        <v>36.066837975597025</v>
      </c>
      <c r="L114" s="112">
        <v>36.756013223538368</v>
      </c>
      <c r="M114" s="112">
        <v>4594.5016529422965</v>
      </c>
      <c r="N114" s="112">
        <v>1.0410477796076936</v>
      </c>
      <c r="O114" s="113">
        <v>57897829.396316454</v>
      </c>
      <c r="P114" s="112">
        <v>428872.81034308486</v>
      </c>
      <c r="Q114" s="112">
        <v>483996.81749306415</v>
      </c>
      <c r="R114" s="114">
        <v>112.25661312584485</v>
      </c>
      <c r="S114" s="112">
        <v>4198687.8429318499</v>
      </c>
      <c r="T114" s="112">
        <v>62202.782858249629</v>
      </c>
      <c r="U114" s="112">
        <v>96950.136248844021</v>
      </c>
      <c r="V114" s="112">
        <v>30.229961060795532</v>
      </c>
      <c r="W114" s="113">
        <v>157144.760961914</v>
      </c>
      <c r="X114" s="115">
        <v>69467614268.849304</v>
      </c>
      <c r="Y114" s="116">
        <v>1</v>
      </c>
      <c r="Z114" s="116">
        <v>1</v>
      </c>
      <c r="AA114" s="116">
        <v>1</v>
      </c>
      <c r="AB114" s="116">
        <v>1</v>
      </c>
      <c r="AC114" s="116">
        <v>1</v>
      </c>
      <c r="AD114" s="117">
        <v>1</v>
      </c>
      <c r="AE114" s="116">
        <v>1</v>
      </c>
      <c r="AF114" s="116">
        <v>1</v>
      </c>
      <c r="AG114" s="116">
        <v>1</v>
      </c>
      <c r="AH114" s="116">
        <v>1</v>
      </c>
      <c r="AI114" s="125">
        <f t="shared" si="15"/>
        <v>226.58557080744799</v>
      </c>
      <c r="AJ114" s="126">
        <f t="shared" si="16"/>
        <v>197.20262349398985</v>
      </c>
      <c r="AK114" s="127">
        <f t="shared" si="17"/>
        <v>176.29768388074908</v>
      </c>
      <c r="AL114" s="128">
        <f t="shared" si="18"/>
        <v>146.91473656729087</v>
      </c>
      <c r="AM114" s="122" t="str">
        <f t="shared" si="14"/>
        <v>IPE 300</v>
      </c>
    </row>
    <row r="115" spans="1:39">
      <c r="A115" s="105" t="s">
        <v>75</v>
      </c>
      <c r="B115" s="106">
        <f>IF(C115&lt;=2,Q115,P115)*IF(head!F$57="S235",235,IF(head!F$57="S275",275,IF(head!F$57="S355",355,IF(head!F$57="S420",420,460))))/1000000</f>
        <v>289.04370777193463</v>
      </c>
      <c r="C115" s="123">
        <f>IF(head!$F$57="S235",Y115,IF(head!$F$57="S275",Z115,IF(head!$F$57="S355",AA115,IF(head!$F$57="S420",AB115,AC115))))</f>
        <v>1</v>
      </c>
      <c r="D115" s="108">
        <f>IF(E115&lt;=2,Q115,P115)*IF(head!F$57="S235",235,IF(head!F$57="S275",275,IF(head!F$57="S355",355,IF(head!F$57="S420",420,460))))/(head!$G$31*head!$G$32*1000000)</f>
        <v>340.05142090815838</v>
      </c>
      <c r="E115" s="124">
        <f>IF(head!$F$57="S235",AD115,IF(head!$F$57="S275",AE115,IF(head!$F$57="S355",AF115,IF(head!$F$57="S420",AG115,AH115))))</f>
        <v>1</v>
      </c>
      <c r="F115" s="110">
        <v>300</v>
      </c>
      <c r="G115" s="110">
        <v>150</v>
      </c>
      <c r="H115" s="110">
        <v>7.1</v>
      </c>
      <c r="I115" s="110">
        <v>10.7</v>
      </c>
      <c r="J115" s="110">
        <v>15</v>
      </c>
      <c r="K115" s="111">
        <v>42.242432975597033</v>
      </c>
      <c r="L115" s="112">
        <v>43.04961322353838</v>
      </c>
      <c r="M115" s="112">
        <v>5381.2016529422972</v>
      </c>
      <c r="N115" s="112">
        <v>1.1600477796076936</v>
      </c>
      <c r="O115" s="113">
        <v>83561091.858479723</v>
      </c>
      <c r="P115" s="112">
        <v>557073.94572319812</v>
      </c>
      <c r="Q115" s="112">
        <v>628355.88646072743</v>
      </c>
      <c r="R115" s="114">
        <v>124.6127325800165</v>
      </c>
      <c r="S115" s="112">
        <v>6037784.2439929144</v>
      </c>
      <c r="T115" s="112">
        <v>80503.789919905525</v>
      </c>
      <c r="U115" s="112">
        <v>125218.8341620796</v>
      </c>
      <c r="V115" s="112">
        <v>33.496479236901557</v>
      </c>
      <c r="W115" s="113">
        <v>197583.59024472299</v>
      </c>
      <c r="X115" s="115">
        <v>124253980120.597</v>
      </c>
      <c r="Y115" s="116">
        <v>1</v>
      </c>
      <c r="Z115" s="116">
        <v>1</v>
      </c>
      <c r="AA115" s="116">
        <v>1</v>
      </c>
      <c r="AB115" s="116">
        <v>1</v>
      </c>
      <c r="AC115" s="116">
        <v>1</v>
      </c>
      <c r="AD115" s="117">
        <v>1</v>
      </c>
      <c r="AE115" s="116">
        <v>1</v>
      </c>
      <c r="AF115" s="116">
        <v>1</v>
      </c>
      <c r="AG115" s="116">
        <v>1</v>
      </c>
      <c r="AH115" s="116">
        <v>1</v>
      </c>
      <c r="AI115" s="125">
        <f t="shared" si="15"/>
        <v>215.57411418942283</v>
      </c>
      <c r="AJ115" s="126">
        <f t="shared" si="16"/>
        <v>187.69929929227362</v>
      </c>
      <c r="AK115" s="127">
        <f t="shared" si="17"/>
        <v>167.24888938289536</v>
      </c>
      <c r="AL115" s="128">
        <f t="shared" si="18"/>
        <v>139.37407448574615</v>
      </c>
      <c r="AM115" s="122" t="str">
        <f t="shared" si="14"/>
        <v>IPE 330</v>
      </c>
    </row>
    <row r="116" spans="1:39">
      <c r="A116" s="105" t="s">
        <v>76</v>
      </c>
      <c r="B116" s="106">
        <f>IF(C116&lt;=2,Q116,P116)*IF(head!F$57="S235",235,IF(head!F$57="S275",275,IF(head!F$57="S355",355,IF(head!F$57="S420",420,460))))/1000000</f>
        <v>369.99211018816646</v>
      </c>
      <c r="C116" s="123">
        <f>IF(head!$F$57="S235",Y116,IF(head!$F$57="S275",Z116,IF(head!$F$57="S355",AA116,IF(head!$F$57="S420",AB116,AC116))))</f>
        <v>1</v>
      </c>
      <c r="D116" s="108">
        <f>IF(E116&lt;=2,Q116,P116)*IF(head!F$57="S235",235,IF(head!F$57="S275",275,IF(head!F$57="S355",355,IF(head!F$57="S420",420,460))))/(head!$G$31*head!$G$32*1000000)</f>
        <v>435.28483551548993</v>
      </c>
      <c r="E116" s="124">
        <f>IF(head!$F$57="S235",AD116,IF(head!$F$57="S275",AE116,IF(head!$F$57="S355",AF116,IF(head!$F$57="S420",AG116,AH116))))</f>
        <v>1</v>
      </c>
      <c r="F116" s="110">
        <v>330</v>
      </c>
      <c r="G116" s="110">
        <v>160</v>
      </c>
      <c r="H116" s="110">
        <v>7.5</v>
      </c>
      <c r="I116" s="110">
        <v>11.5</v>
      </c>
      <c r="J116" s="110">
        <v>18</v>
      </c>
      <c r="K116" s="111">
        <v>49.145898244859723</v>
      </c>
      <c r="L116" s="112">
        <v>50.08499184189526</v>
      </c>
      <c r="M116" s="112">
        <v>6260.6239802369073</v>
      </c>
      <c r="N116" s="112">
        <v>1.2540973355292326</v>
      </c>
      <c r="O116" s="113">
        <v>117669047.3922105</v>
      </c>
      <c r="P116" s="112">
        <v>713145.74177097285</v>
      </c>
      <c r="Q116" s="112">
        <v>804330.67432210094</v>
      </c>
      <c r="R116" s="114">
        <v>137.09521866620102</v>
      </c>
      <c r="S116" s="112">
        <v>7881421.7032166766</v>
      </c>
      <c r="T116" s="112">
        <v>98517.77129020846</v>
      </c>
      <c r="U116" s="112">
        <v>153678.38407015274</v>
      </c>
      <c r="V116" s="112">
        <v>35.480805642629029</v>
      </c>
      <c r="W116" s="113">
        <v>275995.50349294499</v>
      </c>
      <c r="X116" s="115">
        <v>196083826723.95099</v>
      </c>
      <c r="Y116" s="116">
        <v>1</v>
      </c>
      <c r="Z116" s="116">
        <v>1</v>
      </c>
      <c r="AA116" s="116">
        <v>1</v>
      </c>
      <c r="AB116" s="116">
        <v>1</v>
      </c>
      <c r="AC116" s="116">
        <v>1</v>
      </c>
      <c r="AD116" s="117">
        <v>1</v>
      </c>
      <c r="AE116" s="116">
        <v>1</v>
      </c>
      <c r="AF116" s="116">
        <v>1</v>
      </c>
      <c r="AG116" s="116">
        <v>1</v>
      </c>
      <c r="AH116" s="116">
        <v>1</v>
      </c>
      <c r="AI116" s="125">
        <f t="shared" si="15"/>
        <v>200.31507074823179</v>
      </c>
      <c r="AJ116" s="126">
        <f t="shared" si="16"/>
        <v>174.75851272700635</v>
      </c>
      <c r="AK116" s="127">
        <f t="shared" si="17"/>
        <v>156.53391788000596</v>
      </c>
      <c r="AL116" s="128">
        <f t="shared" si="18"/>
        <v>130.97735985878049</v>
      </c>
      <c r="AM116" s="122" t="str">
        <f t="shared" si="14"/>
        <v>IPE 360</v>
      </c>
    </row>
    <row r="117" spans="1:39">
      <c r="A117" s="105" t="s">
        <v>77</v>
      </c>
      <c r="B117" s="106">
        <f>IF(C117&lt;=2,Q117,P117)*IF(head!F$57="S235",235,IF(head!F$57="S275",275,IF(head!F$57="S355",355,IF(head!F$57="S420",420,460))))/1000000</f>
        <v>468.80758791471027</v>
      </c>
      <c r="C117" s="123">
        <f>IF(head!$F$57="S235",Y117,IF(head!$F$57="S275",Z117,IF(head!$F$57="S355",AA117,IF(head!$F$57="S420",AB117,AC117))))</f>
        <v>1</v>
      </c>
      <c r="D117" s="108">
        <f>IF(E117&lt;=2,Q117,P117)*IF(head!F$57="S235",235,IF(head!F$57="S275",275,IF(head!F$57="S355",355,IF(head!F$57="S420",420,460))))/(head!$G$31*head!$G$32*1000000)</f>
        <v>551.53833872318853</v>
      </c>
      <c r="E117" s="124">
        <f>IF(head!$F$57="S235",AD117,IF(head!$F$57="S275",AE117,IF(head!$F$57="S355",AF117,IF(head!$F$57="S420",AG117,AH117))))</f>
        <v>1</v>
      </c>
      <c r="F117" s="110">
        <v>360</v>
      </c>
      <c r="G117" s="110">
        <v>170</v>
      </c>
      <c r="H117" s="110">
        <v>8</v>
      </c>
      <c r="I117" s="110">
        <v>12.7</v>
      </c>
      <c r="J117" s="110">
        <v>18</v>
      </c>
      <c r="K117" s="111">
        <v>57.092453244859726</v>
      </c>
      <c r="L117" s="112">
        <v>58.183391841895258</v>
      </c>
      <c r="M117" s="112">
        <v>7272.9239802369075</v>
      </c>
      <c r="N117" s="112">
        <v>1.3530973355292326</v>
      </c>
      <c r="O117" s="113">
        <v>162656309.20663005</v>
      </c>
      <c r="P117" s="112">
        <v>903646.16225905588</v>
      </c>
      <c r="Q117" s="112">
        <v>1019146.9302493702</v>
      </c>
      <c r="R117" s="114">
        <v>149.54811136633731</v>
      </c>
      <c r="S117" s="112">
        <v>10434519.648833852</v>
      </c>
      <c r="T117" s="112">
        <v>122759.05469216297</v>
      </c>
      <c r="U117" s="112">
        <v>191099.32756521198</v>
      </c>
      <c r="V117" s="112">
        <v>37.877534856053138</v>
      </c>
      <c r="W117" s="113">
        <v>370950.66131164302</v>
      </c>
      <c r="X117" s="115">
        <v>309359162024.84302</v>
      </c>
      <c r="Y117" s="116">
        <v>1</v>
      </c>
      <c r="Z117" s="116">
        <v>1</v>
      </c>
      <c r="AA117" s="116">
        <v>1</v>
      </c>
      <c r="AB117" s="116">
        <v>1</v>
      </c>
      <c r="AC117" s="116">
        <v>1</v>
      </c>
      <c r="AD117" s="117">
        <v>1</v>
      </c>
      <c r="AE117" s="116">
        <v>1</v>
      </c>
      <c r="AF117" s="116">
        <v>1</v>
      </c>
      <c r="AG117" s="116">
        <v>1</v>
      </c>
      <c r="AH117" s="116">
        <v>1</v>
      </c>
      <c r="AI117" s="125">
        <f t="shared" si="15"/>
        <v>186.04585160054938</v>
      </c>
      <c r="AJ117" s="126">
        <f t="shared" si="16"/>
        <v>162.67148381367991</v>
      </c>
      <c r="AK117" s="127">
        <f t="shared" si="17"/>
        <v>145.74605796518605</v>
      </c>
      <c r="AL117" s="128">
        <f t="shared" si="18"/>
        <v>122.37169017831658</v>
      </c>
      <c r="AM117" s="122" t="str">
        <f t="shared" si="14"/>
        <v>IPE 400</v>
      </c>
    </row>
    <row r="118" spans="1:39">
      <c r="A118" s="105" t="s">
        <v>78</v>
      </c>
      <c r="B118" s="106">
        <f>IF(C118&lt;=2,Q118,P118)*IF(head!F$57="S235",235,IF(head!F$57="S275",275,IF(head!F$57="S355",355,IF(head!F$57="S420",420,460))))/1000000</f>
        <v>601.28791411545421</v>
      </c>
      <c r="C118" s="123">
        <f>IF(head!$F$57="S235",Y118,IF(head!$F$57="S275",Z118,IF(head!$F$57="S355",AA118,IF(head!$F$57="S420",AB118,AC118))))</f>
        <v>1</v>
      </c>
      <c r="D118" s="108">
        <f>IF(E118&lt;=2,Q118,P118)*IF(head!F$57="S235",235,IF(head!F$57="S275",275,IF(head!F$57="S355",355,IF(head!F$57="S420",420,460))))/(head!$G$31*head!$G$32*1000000)</f>
        <v>707.3975460181814</v>
      </c>
      <c r="E118" s="124">
        <f>IF(head!$F$57="S235",AD118,IF(head!$F$57="S275",AE118,IF(head!$F$57="S355",AF118,IF(head!$F$57="S420",AG118,AH118))))</f>
        <v>1</v>
      </c>
      <c r="F118" s="110">
        <v>400</v>
      </c>
      <c r="G118" s="110">
        <v>180</v>
      </c>
      <c r="H118" s="110">
        <v>8.6</v>
      </c>
      <c r="I118" s="110">
        <v>13.5</v>
      </c>
      <c r="J118" s="110">
        <v>21</v>
      </c>
      <c r="K118" s="111">
        <v>66.303907472170167</v>
      </c>
      <c r="L118" s="112">
        <v>67.570861118135198</v>
      </c>
      <c r="M118" s="112">
        <v>8446.3576397669003</v>
      </c>
      <c r="N118" s="112">
        <v>1.4667468914507713</v>
      </c>
      <c r="O118" s="113">
        <v>231283690.88907623</v>
      </c>
      <c r="P118" s="112">
        <v>1156418.4544453812</v>
      </c>
      <c r="Q118" s="112">
        <v>1307147.6393814222</v>
      </c>
      <c r="R118" s="114">
        <v>165.47705051200114</v>
      </c>
      <c r="S118" s="112">
        <v>13178240.280089362</v>
      </c>
      <c r="T118" s="112">
        <v>146424.89200099293</v>
      </c>
      <c r="U118" s="112">
        <v>229000.27828610261</v>
      </c>
      <c r="V118" s="112">
        <v>39.49971641129823</v>
      </c>
      <c r="W118" s="113">
        <v>504297.04243728402</v>
      </c>
      <c r="X118" s="115">
        <v>482874034103.77698</v>
      </c>
      <c r="Y118" s="116">
        <v>1</v>
      </c>
      <c r="Z118" s="116">
        <v>1</v>
      </c>
      <c r="AA118" s="116">
        <v>1</v>
      </c>
      <c r="AB118" s="116">
        <v>1</v>
      </c>
      <c r="AC118" s="116">
        <v>1</v>
      </c>
      <c r="AD118" s="117">
        <v>1</v>
      </c>
      <c r="AE118" s="116">
        <v>1</v>
      </c>
      <c r="AF118" s="116">
        <v>1</v>
      </c>
      <c r="AG118" s="116">
        <v>1</v>
      </c>
      <c r="AH118" s="116">
        <v>1</v>
      </c>
      <c r="AI118" s="125">
        <f t="shared" si="15"/>
        <v>173.65436724406214</v>
      </c>
      <c r="AJ118" s="126">
        <f t="shared" si="16"/>
        <v>152.34340603724218</v>
      </c>
      <c r="AK118" s="127">
        <f t="shared" si="17"/>
        <v>137.3373055550621</v>
      </c>
      <c r="AL118" s="128">
        <f t="shared" si="18"/>
        <v>116.02634434824213</v>
      </c>
      <c r="AM118" s="122" t="str">
        <f t="shared" si="14"/>
        <v>IPE 450</v>
      </c>
    </row>
    <row r="119" spans="1:39">
      <c r="A119" s="105" t="s">
        <v>79</v>
      </c>
      <c r="B119" s="106">
        <f>IF(C119&lt;=2,Q119,P119)*IF(head!F$57="S235",235,IF(head!F$57="S275",275,IF(head!F$57="S355",355,IF(head!F$57="S420",420,460))))/1000000</f>
        <v>782.82483564705137</v>
      </c>
      <c r="C119" s="123">
        <f>IF(head!$F$57="S235",Y119,IF(head!$F$57="S275",Z119,IF(head!$F$57="S355",AA119,IF(head!$F$57="S420",AB119,AC119))))</f>
        <v>1</v>
      </c>
      <c r="D119" s="108">
        <f>IF(E119&lt;=2,Q119,P119)*IF(head!F$57="S235",235,IF(head!F$57="S275",275,IF(head!F$57="S355",355,IF(head!F$57="S420",420,460))))/(head!$G$31*head!$G$32*1000000)</f>
        <v>920.97039487888389</v>
      </c>
      <c r="E119" s="124">
        <f>IF(head!$F$57="S235",AD119,IF(head!$F$57="S275",AE119,IF(head!$F$57="S355",AF119,IF(head!$F$57="S420",AG119,AH119))))</f>
        <v>1</v>
      </c>
      <c r="F119" s="110">
        <v>450</v>
      </c>
      <c r="G119" s="110">
        <v>190</v>
      </c>
      <c r="H119" s="110">
        <v>9.4</v>
      </c>
      <c r="I119" s="110">
        <v>14.6</v>
      </c>
      <c r="J119" s="110">
        <v>21</v>
      </c>
      <c r="K119" s="111">
        <v>77.574309472170171</v>
      </c>
      <c r="L119" s="112">
        <v>79.056621118135212</v>
      </c>
      <c r="M119" s="112">
        <v>9882.0776397669015</v>
      </c>
      <c r="N119" s="112">
        <v>1.6051468914507714</v>
      </c>
      <c r="O119" s="113">
        <v>337429418.08865297</v>
      </c>
      <c r="P119" s="112">
        <v>1499686.3026162353</v>
      </c>
      <c r="Q119" s="112">
        <v>1701793.1209718508</v>
      </c>
      <c r="R119" s="114">
        <v>184.78526651486931</v>
      </c>
      <c r="S119" s="112">
        <v>16758612.060873941</v>
      </c>
      <c r="T119" s="112">
        <v>176406.44274604149</v>
      </c>
      <c r="U119" s="112">
        <v>276380.40334200935</v>
      </c>
      <c r="V119" s="112">
        <v>41.180810795490672</v>
      </c>
      <c r="W119" s="113">
        <v>660739.50691333797</v>
      </c>
      <c r="X119" s="115">
        <v>780951618975.03101</v>
      </c>
      <c r="Y119" s="116">
        <v>1</v>
      </c>
      <c r="Z119" s="116">
        <v>1</v>
      </c>
      <c r="AA119" s="116">
        <v>1</v>
      </c>
      <c r="AB119" s="116">
        <v>1</v>
      </c>
      <c r="AC119" s="116">
        <v>1</v>
      </c>
      <c r="AD119" s="117">
        <v>1</v>
      </c>
      <c r="AE119" s="116">
        <v>1</v>
      </c>
      <c r="AF119" s="116">
        <v>1</v>
      </c>
      <c r="AG119" s="116">
        <v>1</v>
      </c>
      <c r="AH119" s="116">
        <v>1</v>
      </c>
      <c r="AI119" s="125">
        <f t="shared" si="15"/>
        <v>162.43010326000976</v>
      </c>
      <c r="AJ119" s="126">
        <f t="shared" si="16"/>
        <v>143.20337716797698</v>
      </c>
      <c r="AK119" s="127">
        <f t="shared" si="17"/>
        <v>129.5274178831682</v>
      </c>
      <c r="AL119" s="128">
        <f t="shared" si="18"/>
        <v>110.30069179113542</v>
      </c>
      <c r="AM119" s="122" t="str">
        <f t="shared" si="14"/>
        <v>IPE 500</v>
      </c>
    </row>
    <row r="120" spans="1:39">
      <c r="A120" s="105" t="s">
        <v>80</v>
      </c>
      <c r="B120" s="106">
        <f>IF(C120&lt;=2,Q120,P120)*IF(head!F$57="S235",235,IF(head!F$57="S275",275,IF(head!F$57="S355",355,IF(head!F$57="S420",420,460))))/1000000</f>
        <v>1009.2942695443609</v>
      </c>
      <c r="C120" s="123">
        <f>IF(head!$F$57="S235",Y120,IF(head!$F$57="S275",Z120,IF(head!$F$57="S355",AA120,IF(head!$F$57="S420",AB120,AC120))))</f>
        <v>1</v>
      </c>
      <c r="D120" s="108">
        <f>IF(E120&lt;=2,Q120,P120)*IF(head!F$57="S235",235,IF(head!F$57="S275",275,IF(head!F$57="S355",355,IF(head!F$57="S420",420,460))))/(head!$G$31*head!$G$32*1000000)</f>
        <v>1187.4050229933657</v>
      </c>
      <c r="E120" s="124">
        <f>IF(head!$F$57="S235",AD120,IF(head!$F$57="S275",AE120,IF(head!$F$57="S355",AF120,IF(head!$F$57="S420",AG120,AH120))))</f>
        <v>1</v>
      </c>
      <c r="F120" s="110">
        <v>500</v>
      </c>
      <c r="G120" s="110">
        <v>200</v>
      </c>
      <c r="H120" s="110">
        <v>10.199999999999999</v>
      </c>
      <c r="I120" s="110">
        <v>16</v>
      </c>
      <c r="J120" s="110">
        <v>21</v>
      </c>
      <c r="K120" s="111">
        <v>90.68443747217016</v>
      </c>
      <c r="L120" s="112">
        <v>92.417261118135201</v>
      </c>
      <c r="M120" s="112">
        <v>11552.1576397669</v>
      </c>
      <c r="N120" s="112">
        <v>1.7435468914507712</v>
      </c>
      <c r="O120" s="113">
        <v>481985349.071702</v>
      </c>
      <c r="P120" s="112">
        <v>1927941.396286808</v>
      </c>
      <c r="Q120" s="112">
        <v>2194117.9772703499</v>
      </c>
      <c r="R120" s="114">
        <v>204.26095838965679</v>
      </c>
      <c r="S120" s="112">
        <v>21416877.874903243</v>
      </c>
      <c r="T120" s="112">
        <v>214168.77874903244</v>
      </c>
      <c r="U120" s="112">
        <v>335879.03439791611</v>
      </c>
      <c r="V120" s="112">
        <v>43.057273610488807</v>
      </c>
      <c r="W120" s="113">
        <v>886444.3203830549</v>
      </c>
      <c r="X120" s="115">
        <v>1235377575484.97</v>
      </c>
      <c r="Y120" s="116">
        <v>1</v>
      </c>
      <c r="Z120" s="116">
        <v>1</v>
      </c>
      <c r="AA120" s="116">
        <v>1</v>
      </c>
      <c r="AB120" s="116">
        <v>1</v>
      </c>
      <c r="AC120" s="116">
        <v>1</v>
      </c>
      <c r="AD120" s="117">
        <v>1</v>
      </c>
      <c r="AE120" s="116">
        <v>1</v>
      </c>
      <c r="AF120" s="116">
        <v>1</v>
      </c>
      <c r="AG120" s="116">
        <v>1</v>
      </c>
      <c r="AH120" s="116">
        <v>1</v>
      </c>
      <c r="AI120" s="125">
        <f t="shared" si="15"/>
        <v>150.92824611818168</v>
      </c>
      <c r="AJ120" s="126">
        <f t="shared" si="16"/>
        <v>133.61546297959944</v>
      </c>
      <c r="AK120" s="127">
        <f t="shared" si="17"/>
        <v>121.18948197007545</v>
      </c>
      <c r="AL120" s="128">
        <f t="shared" si="18"/>
        <v>103.87669883149324</v>
      </c>
      <c r="AM120" s="122" t="str">
        <f t="shared" si="14"/>
        <v>IPE 550</v>
      </c>
    </row>
    <row r="121" spans="1:39">
      <c r="A121" s="105" t="s">
        <v>81</v>
      </c>
      <c r="B121" s="106">
        <f>IF(C121&lt;=2,Q121,P121)*IF(head!F$57="S235",235,IF(head!F$57="S275",275,IF(head!F$57="S355",355,IF(head!F$57="S420",420,460))))/1000000</f>
        <v>1282.0225811760333</v>
      </c>
      <c r="C121" s="123">
        <f>IF(head!$F$57="S235",Y121,IF(head!$F$57="S275",Z121,IF(head!$F$57="S355",AA121,IF(head!$F$57="S420",AB121,AC121))))</f>
        <v>1</v>
      </c>
      <c r="D121" s="108">
        <f>IF(E121&lt;=2,Q121,P121)*IF(head!F$57="S235",235,IF(head!F$57="S275",275,IF(head!F$57="S355",355,IF(head!F$57="S420",420,460))))/(head!$G$31*head!$G$32*1000000)</f>
        <v>1508.2618602070979</v>
      </c>
      <c r="E121" s="124">
        <f>IF(head!$F$57="S235",AD121,IF(head!$F$57="S275",AE121,IF(head!$F$57="S355",AF121,IF(head!$F$57="S420",AG121,AH121))))</f>
        <v>1</v>
      </c>
      <c r="F121" s="110">
        <v>550</v>
      </c>
      <c r="G121" s="110">
        <v>210</v>
      </c>
      <c r="H121" s="110">
        <v>11.1</v>
      </c>
      <c r="I121" s="110">
        <v>17.2</v>
      </c>
      <c r="J121" s="110">
        <v>24</v>
      </c>
      <c r="K121" s="111">
        <v>105.51658065752839</v>
      </c>
      <c r="L121" s="112">
        <v>107.53282105225824</v>
      </c>
      <c r="M121" s="112">
        <v>13441.60263153228</v>
      </c>
      <c r="N121" s="112">
        <v>1.87659644737231</v>
      </c>
      <c r="O121" s="113">
        <v>671165170.42331505</v>
      </c>
      <c r="P121" s="112">
        <v>2440600.6197211458</v>
      </c>
      <c r="Q121" s="112">
        <v>2787005.6112522464</v>
      </c>
      <c r="R121" s="114">
        <v>223.45453821763971</v>
      </c>
      <c r="S121" s="112">
        <v>26675837.22620121</v>
      </c>
      <c r="T121" s="112">
        <v>254055.59263048772</v>
      </c>
      <c r="U121" s="112">
        <v>400536.5487617788</v>
      </c>
      <c r="V121" s="112">
        <v>44.548542851568719</v>
      </c>
      <c r="W121" s="113">
        <v>1217845.7709027899</v>
      </c>
      <c r="X121" s="115">
        <v>1861466014141.6001</v>
      </c>
      <c r="Y121" s="116">
        <v>1</v>
      </c>
      <c r="Z121" s="116">
        <v>1</v>
      </c>
      <c r="AA121" s="116">
        <v>1</v>
      </c>
      <c r="AB121" s="116">
        <v>1</v>
      </c>
      <c r="AC121" s="116">
        <v>1</v>
      </c>
      <c r="AD121" s="117">
        <v>1</v>
      </c>
      <c r="AE121" s="116">
        <v>1</v>
      </c>
      <c r="AF121" s="116">
        <v>1</v>
      </c>
      <c r="AG121" s="116">
        <v>1</v>
      </c>
      <c r="AH121" s="116">
        <v>1</v>
      </c>
      <c r="AI121" s="125">
        <f t="shared" si="15"/>
        <v>139.6110641576366</v>
      </c>
      <c r="AJ121" s="126">
        <f t="shared" si="16"/>
        <v>123.98792711389102</v>
      </c>
      <c r="AK121" s="127">
        <f t="shared" si="17"/>
        <v>113.08175384044418</v>
      </c>
      <c r="AL121" s="128">
        <f t="shared" si="18"/>
        <v>97.458616796698607</v>
      </c>
      <c r="AM121" s="122" t="str">
        <f t="shared" si="14"/>
        <v>IPE 600</v>
      </c>
    </row>
    <row r="122" spans="1:39" ht="14" thickBot="1">
      <c r="A122" s="129" t="s">
        <v>121</v>
      </c>
      <c r="B122" s="130">
        <f>IF(C122&lt;=2,Q122,P122)*IF(head!F$57="S235",235,IF(head!F$57="S275",275,IF(head!F$57="S355",355,IF(head!F$57="S420",420,460))))/1000000</f>
        <v>1615.703887899746</v>
      </c>
      <c r="C122" s="131">
        <f>IF(head!$F$57="S235",Y122,IF(head!$F$57="S275",Z122,IF(head!$F$57="S355",AA122,IF(head!$F$57="S420",AB122,AC122))))</f>
        <v>1</v>
      </c>
      <c r="D122" s="132">
        <f>IF(E122&lt;=2,Q122,P122)*IF(head!F$57="S235",235,IF(head!F$57="S275",275,IF(head!F$57="S355",355,IF(head!F$57="S420",420,460))))/(head!$G$31*head!$G$32*1000000)</f>
        <v>1900.8281034114659</v>
      </c>
      <c r="E122" s="133">
        <f>IF(head!$F$57="S235",AD122,IF(head!$F$57="S275",AE122,IF(head!$F$57="S355",AF122,IF(head!$F$57="S420",AG122,AH122))))</f>
        <v>1</v>
      </c>
      <c r="F122" s="134">
        <v>600</v>
      </c>
      <c r="G122" s="134">
        <v>220</v>
      </c>
      <c r="H122" s="134">
        <v>12</v>
      </c>
      <c r="I122" s="134">
        <v>19</v>
      </c>
      <c r="J122" s="134">
        <v>24</v>
      </c>
      <c r="K122" s="135">
        <v>122.4477746575284</v>
      </c>
      <c r="L122" s="136">
        <v>124.78754105225823</v>
      </c>
      <c r="M122" s="136">
        <v>15598.44263153228</v>
      </c>
      <c r="N122" s="136">
        <v>2.0147964473723099</v>
      </c>
      <c r="O122" s="137">
        <v>920834571.77568281</v>
      </c>
      <c r="P122" s="136">
        <v>3069448.5725856093</v>
      </c>
      <c r="Q122" s="136">
        <v>3512399.7563037956</v>
      </c>
      <c r="R122" s="138">
        <v>242.96862057039939</v>
      </c>
      <c r="S122" s="136">
        <v>33873424.773986369</v>
      </c>
      <c r="T122" s="136">
        <v>307940.22521805792</v>
      </c>
      <c r="U122" s="136">
        <v>485649.27894596837</v>
      </c>
      <c r="V122" s="136">
        <v>46.600323771882508</v>
      </c>
      <c r="W122" s="137">
        <v>1646117.4571889199</v>
      </c>
      <c r="X122" s="139">
        <v>2814648875763.1299</v>
      </c>
      <c r="Y122" s="140">
        <v>1</v>
      </c>
      <c r="Z122" s="141">
        <v>1</v>
      </c>
      <c r="AA122" s="141">
        <v>1</v>
      </c>
      <c r="AB122" s="141">
        <v>1</v>
      </c>
      <c r="AC122" s="141">
        <v>1</v>
      </c>
      <c r="AD122" s="142">
        <v>1</v>
      </c>
      <c r="AE122" s="141">
        <v>1</v>
      </c>
      <c r="AF122" s="141">
        <v>1</v>
      </c>
      <c r="AG122" s="141">
        <v>1</v>
      </c>
      <c r="AH122" s="143">
        <v>1</v>
      </c>
      <c r="AI122" s="144">
        <f t="shared" si="15"/>
        <v>129.16651328379382</v>
      </c>
      <c r="AJ122" s="145">
        <f t="shared" si="16"/>
        <v>115.06254116318803</v>
      </c>
      <c r="AK122" s="146">
        <f t="shared" si="17"/>
        <v>105.13870126269767</v>
      </c>
      <c r="AL122" s="147">
        <f t="shared" si="18"/>
        <v>91.034729142091876</v>
      </c>
      <c r="AM122" s="148" t="s">
        <v>49</v>
      </c>
    </row>
  </sheetData>
  <sheetProtection selectLockedCells="1" selectUnlockedCells="1"/>
  <mergeCells count="8">
    <mergeCell ref="AI2:AJ2"/>
    <mergeCell ref="AK2:AL2"/>
    <mergeCell ref="B1:E1"/>
    <mergeCell ref="F1:J1"/>
    <mergeCell ref="K1:X1"/>
    <mergeCell ref="Y1:AH1"/>
    <mergeCell ref="Y2:AC2"/>
    <mergeCell ref="AD2:AH2"/>
  </mergeCells>
  <phoneticPr fontId="10" type="noConversion"/>
  <pageMargins left="0.98425196850393704" right="0.98425196850393704" top="0.98425196850393704" bottom="1.1811023622047245" header="0.49212598425196852" footer="0.59055118110236227"/>
  <pageSetup paperSize="8" fitToHeight="5"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3</vt:i4>
      </vt:variant>
      <vt:variant>
        <vt:lpstr>Benoemde bereiken</vt:lpstr>
      </vt:variant>
      <vt:variant>
        <vt:i4>8</vt:i4>
      </vt:variant>
    </vt:vector>
  </HeadingPairs>
  <TitlesOfParts>
    <vt:vector size="11" baseType="lpstr">
      <vt:lpstr>head</vt:lpstr>
      <vt:lpstr>ky</vt:lpstr>
      <vt:lpstr>database</vt:lpstr>
      <vt:lpstr>head!Afdrukbereik</vt:lpstr>
      <vt:lpstr>database!Afdruktitels</vt:lpstr>
      <vt:lpstr>DBASE</vt:lpstr>
      <vt:lpstr>HEA</vt:lpstr>
      <vt:lpstr>HEAA</vt:lpstr>
      <vt:lpstr>HEB</vt:lpstr>
      <vt:lpstr>HEM</vt:lpstr>
      <vt:lpstr>IPE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Bouwen met Staal</dc:creator>
  <cp:keywords/>
  <dc:description/>
  <cp:lastModifiedBy>Facturatie </cp:lastModifiedBy>
  <cp:lastPrinted>2022-11-24T17:08:14Z</cp:lastPrinted>
  <dcterms:created xsi:type="dcterms:W3CDTF">2007-01-15T15:08:35Z</dcterms:created>
  <dcterms:modified xsi:type="dcterms:W3CDTF">2022-11-24T17:13:19Z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-1565627295</vt:i4>
  </property>
  <property fmtid="{D5CDD505-2E9C-101B-9397-08002B2CF9AE}" pid="3" name="_EmailSubject">
    <vt:lpwstr/>
  </property>
  <property fmtid="{D5CDD505-2E9C-101B-9397-08002B2CF9AE}" pid="4" name="_AuthorEmail">
    <vt:lpwstr>Joris.Fellinger@infosteel.be</vt:lpwstr>
  </property>
  <property fmtid="{D5CDD505-2E9C-101B-9397-08002B2CF9AE}" pid="5" name="_AuthorEmailDisplayName">
    <vt:lpwstr>Joris Fellinger</vt:lpwstr>
  </property>
  <property fmtid="{D5CDD505-2E9C-101B-9397-08002B2CF9AE}" pid="6" name="_ReviewingToolsShownOnce">
    <vt:lpwstr/>
  </property>
</Properties>
</file>